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9015" activeTab="0"/>
  </bookViews>
  <sheets>
    <sheet name="201802_CORTES_SECTORES_1_Urcos" sheetId="1" r:id="rId1"/>
  </sheets>
  <definedNames/>
  <calcPr fullCalcOnLoad="1"/>
</workbook>
</file>

<file path=xl/sharedStrings.xml><?xml version="1.0" encoding="utf-8"?>
<sst xmlns="http://schemas.openxmlformats.org/spreadsheetml/2006/main" count="4392" uniqueCount="1143">
  <si>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</si>
  <si>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</si>
  <si>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</si>
  <si>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</si>
  <si>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</si>
  <si>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</si>
  <si>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</si>
  <si>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</si>
  <si>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</si>
  <si>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</si>
  <si>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</si>
  <si>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</si>
  <si>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</si>
  <si>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</si>
  <si>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</si>
  <si>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</si>
  <si>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</si>
  <si>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</si>
  <si>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SAYLLA</t>
  </si>
  <si>
    <t>OR030027</t>
  </si>
  <si>
    <t>CCOPA-CHIHUANTITO--ANDREA-LEON</t>
  </si>
  <si>
    <t>AV--CUSCO-S-N---SAYLLA</t>
  </si>
  <si>
    <t>BT5B</t>
  </si>
  <si>
    <t>Aerea</t>
  </si>
  <si>
    <t>CRBTA31</t>
  </si>
  <si>
    <t>CANA-HERENCIA--ANTONIA</t>
  </si>
  <si>
    <t>A-V--HUASCAR-S-N---SAYLLA</t>
  </si>
  <si>
    <t>CRBTA11</t>
  </si>
  <si>
    <t>MUNICIPALIDAD-DISTRITAL-DE-SAY</t>
  </si>
  <si>
    <t>PLAZA-DE-ARMAS-DE-SAYLLA</t>
  </si>
  <si>
    <t>CHIHUANTITO--ENRIQUE</t>
  </si>
  <si>
    <t>SAYLLA-C--UNION-G-26</t>
  </si>
  <si>
    <t>MOJONERO-KCANA--ALEJANDRO</t>
  </si>
  <si>
    <t>AV-CUSCO-S-N---SAYLLA</t>
  </si>
  <si>
    <t>CHAVEZ-MOJONERO--VICKI</t>
  </si>
  <si>
    <t>AV-INDEPENDENCIA-SAYLLA</t>
  </si>
  <si>
    <t>KCANA-HERENCIA--GUIDO-MANUEL</t>
  </si>
  <si>
    <t>CALLE-INDEPENDENCIA---SAYLLA</t>
  </si>
  <si>
    <t>QUISPE-HUALLPA--ORLANDO</t>
  </si>
  <si>
    <t>CALLE-SAN-AGUSTIN--S-N--SAYLLA</t>
  </si>
  <si>
    <t>OR030119</t>
  </si>
  <si>
    <t>HERENCIA-USTO--ALEJANDRO</t>
  </si>
  <si>
    <t>AV--CUSCO-S-N</t>
  </si>
  <si>
    <t>KCANA-PAUCAR--CHABELA</t>
  </si>
  <si>
    <t>CALLE-UNION-K12</t>
  </si>
  <si>
    <t>CCOPA-HUAMAN-DE-ACHANCCARAY--C</t>
  </si>
  <si>
    <t>CALLE-HUASCAR---SAYLLA</t>
  </si>
  <si>
    <t>QUISPE-HERENCIA--VILMA</t>
  </si>
  <si>
    <t>CALLE-UNION-S-N--SAYLLA</t>
  </si>
  <si>
    <t>CHIHUANTITO--SILVEST</t>
  </si>
  <si>
    <t>SAYLLA-C--UNION-K-17</t>
  </si>
  <si>
    <t>QUISPE-PAREJA-EFRAIN</t>
  </si>
  <si>
    <t>SAYLLA-A--HUASCAR-K-20</t>
  </si>
  <si>
    <t>MU-OZ-RIMACHI-DOMINGO</t>
  </si>
  <si>
    <t>SAYLLA-A--HUASCAR-K-24</t>
  </si>
  <si>
    <t>SAYLLA-C--PASION-K-28</t>
  </si>
  <si>
    <t>MENDOZA-F-GENARA--NN</t>
  </si>
  <si>
    <t>CALLE-UNION-L-7</t>
  </si>
  <si>
    <t>VELASQUEZ-YBARRA--JOSE</t>
  </si>
  <si>
    <t>CALLE-PASION-S-N--SAYLLA</t>
  </si>
  <si>
    <t>CCOPA-RONDON--SEVERINA</t>
  </si>
  <si>
    <t>AV--CUSCO-M10</t>
  </si>
  <si>
    <t>RAYAN-CONDORI--SEGUNDO</t>
  </si>
  <si>
    <t>CALLE-SAN-AGUSTIN-S-N---SAYLLA</t>
  </si>
  <si>
    <t>OROPESA</t>
  </si>
  <si>
    <t>CCOPA-TORRES--VALENTIN</t>
  </si>
  <si>
    <t>CALLE-PASION-S-N---SAYLLA</t>
  </si>
  <si>
    <t>QUILLAHUAMAN-MATAMOROS--JUAN</t>
  </si>
  <si>
    <t>AV-CUSCO-S-N</t>
  </si>
  <si>
    <t>MORALES-VICTORIO--CARMEN</t>
  </si>
  <si>
    <t>CALLE-HUASCAR-N--119--SAYLLA</t>
  </si>
  <si>
    <t>PAUCCAR-IBARRA--JHON</t>
  </si>
  <si>
    <t>SECTOR-SANTA-BARBARA-S-N</t>
  </si>
  <si>
    <t>QUISPE-RONDON--SONIA</t>
  </si>
  <si>
    <t>AV--HUASCAR-SAYLLA</t>
  </si>
  <si>
    <t>PAUCAR-PURI--YSMAEL</t>
  </si>
  <si>
    <t>CARRETERA-CUSCO-URCOS-SAYLLA-S</t>
  </si>
  <si>
    <t>SALAS-LUPA--JULIO</t>
  </si>
  <si>
    <t>CALLE-HUASCAR-S-N---SAYLLA-</t>
  </si>
  <si>
    <t>MENDOZA-CANALES-ESTEBAN</t>
  </si>
  <si>
    <t>QUISPE-KANA-FRUCTUOSO</t>
  </si>
  <si>
    <t>AVDA--CUSCO-S-N-SAYLLA</t>
  </si>
  <si>
    <t>PARI-CCALLO--LUZGARDO</t>
  </si>
  <si>
    <t>CALLE-IGNACIO-FERRO-S-N---SAYL</t>
  </si>
  <si>
    <t>CCOPA-FERNANDEZ--FELIX-VICTOR</t>
  </si>
  <si>
    <t>AV-CUSCO-V-3</t>
  </si>
  <si>
    <t>PAUCAR-H--LUCIO</t>
  </si>
  <si>
    <t>AV--CUSCO-U-1</t>
  </si>
  <si>
    <t>QUILLAHUAMAN-M-GABRI--NN</t>
  </si>
  <si>
    <t>CCOPA-TORRES--CESAR</t>
  </si>
  <si>
    <t>CALLE-ANAWARQUE-S-N---SAYLLA</t>
  </si>
  <si>
    <t>OR030124</t>
  </si>
  <si>
    <t>SONCCO-HANCCO--ARMANDINA</t>
  </si>
  <si>
    <t>APV-ANGOSTURA-M-C-10---SAYLLA</t>
  </si>
  <si>
    <t>HANAMPA-TINTA-MARIO</t>
  </si>
  <si>
    <t>ANGOSTURA--K--986-</t>
  </si>
  <si>
    <t>HUAMANI-ZUMINA--VILMA</t>
  </si>
  <si>
    <t>ANGOSTURA-S-N</t>
  </si>
  <si>
    <t>AIVAR-VDA-DE-DELGADO--VICTORIA</t>
  </si>
  <si>
    <t>APV--ANGOSTURA-MZ--C--5---SAYL</t>
  </si>
  <si>
    <t>HUARAYA-RAFAELE--ROSALIA</t>
  </si>
  <si>
    <t>ANGOSTURA-S-N---SAYLLA</t>
  </si>
  <si>
    <t>SAN JERONIMO</t>
  </si>
  <si>
    <t>OR030128</t>
  </si>
  <si>
    <t>SERRANO-HERENCIA--JESUS</t>
  </si>
  <si>
    <t>MANZANAYOC-PUCRO-</t>
  </si>
  <si>
    <t>CONDORI-TINTA--ALBERTO</t>
  </si>
  <si>
    <t>APV--QUINTA-CARMEN-MZ--A-3---S</t>
  </si>
  <si>
    <t>QUISPE-VDA-DE-FERNANDEZ--MARIA</t>
  </si>
  <si>
    <t>OR030096</t>
  </si>
  <si>
    <t>QUISPE-HERENCIA--EVA-MARIA</t>
  </si>
  <si>
    <t>APV--CHINGO-GRANDE-S-N---SAYLL</t>
  </si>
  <si>
    <t>-SABOR--Y--SAZON--S-A-C--</t>
  </si>
  <si>
    <t>CCANOPATA-SAYLLA---CHINGO-GRAN</t>
  </si>
  <si>
    <t>PALOMINO-ZAMALLOA--FERNANDO</t>
  </si>
  <si>
    <t>CHINGO-GRANDE---SAYLLA</t>
  </si>
  <si>
    <t>DELGADO-ALARCON-EUFEMIA</t>
  </si>
  <si>
    <t>CHINGO-GRDE-LA-RINCONADA</t>
  </si>
  <si>
    <t>QUISPE-CCALLA--MATILDE</t>
  </si>
  <si>
    <t>CHINGO-GRANDE</t>
  </si>
  <si>
    <t>GUTIERREZ-MOJONERO--HERMENEGIL</t>
  </si>
  <si>
    <t>ASOC--PRO-VIVIENDA-CHINGO-GRAN</t>
  </si>
  <si>
    <t>HERENCIA-QUISPE--WILFREDO-LUCH</t>
  </si>
  <si>
    <t>CARRETERA-CUSCO-URCOS-S-N---CH</t>
  </si>
  <si>
    <t>RIMACHI-PAUCCAR--EUFEMIO-BRAUL</t>
  </si>
  <si>
    <t>ASOC-CHINGO-GRANDE</t>
  </si>
  <si>
    <t>APV--CHINGO-GRANDE-PARCELA-47-</t>
  </si>
  <si>
    <t>PUMA-CONDORI--JAIME-ELEAZAR</t>
  </si>
  <si>
    <t>SECTOR-CHINGO-GRANDE-PARC--61</t>
  </si>
  <si>
    <t>CASA-MENDOZA--GREGORIA</t>
  </si>
  <si>
    <t>APV--SANTA-MARIA-SAYLLA-MZ--C-</t>
  </si>
  <si>
    <t>YUPANQUI-ASTETE--JUAN-WILBER</t>
  </si>
  <si>
    <t>CHINGO-GRANDE-S-N---SAYLLA</t>
  </si>
  <si>
    <t>OR030111</t>
  </si>
  <si>
    <t>QUI-ONES-OCAMPO-DE-MADRID--BER</t>
  </si>
  <si>
    <t>CONDEBAMBA-S-N</t>
  </si>
  <si>
    <t>OR030415</t>
  </si>
  <si>
    <t>GUTIERREZ-SEVILLANOS--MAURA</t>
  </si>
  <si>
    <t>CONDEBAMBA-S-N---SAYLLA-</t>
  </si>
  <si>
    <t>OR030335</t>
  </si>
  <si>
    <t>MESICANO-CHOQUE-ROBERTO</t>
  </si>
  <si>
    <t>VIRGEN-NATIVIDAD-44-B-SAY</t>
  </si>
  <si>
    <t>TTITO-MAMANI--SONIA</t>
  </si>
  <si>
    <t>CALLE-LOS-PINOS-S-N---CONDEBAM</t>
  </si>
  <si>
    <t>HUAMAN-BALLON--NAYDA</t>
  </si>
  <si>
    <t>CONDEBAMBA---SAYLLA</t>
  </si>
  <si>
    <t>OR030057</t>
  </si>
  <si>
    <t>ROJAS-CARLOS--JUANA-VICTORIA</t>
  </si>
  <si>
    <t>ANGOSTURA-ANTIGUA---SAYLLA</t>
  </si>
  <si>
    <t>TTITO-TUPAYCCANA-EUSEBIA</t>
  </si>
  <si>
    <t>OR030127</t>
  </si>
  <si>
    <t>MAMANI-QUISPE--TEOFILO</t>
  </si>
  <si>
    <t>LOS-GIRASOLES---SAYLLA</t>
  </si>
  <si>
    <t>OR030165</t>
  </si>
  <si>
    <t>KALA-MENDOZA--KATTY</t>
  </si>
  <si>
    <t>APV--FERROVIARIOS-MZ--X---8---</t>
  </si>
  <si>
    <t>CACERES-VDA-DE-COVARRUBIAS--RO</t>
  </si>
  <si>
    <t>APV--FERROVIARIOS</t>
  </si>
  <si>
    <t>CHAVEZ-DE-ANTAZANO--MERCEDES</t>
  </si>
  <si>
    <t>MU-OZ-HUALLPA--FERNANDO</t>
  </si>
  <si>
    <t>APV--FERROVIARIOS-MZ--V---4-SA</t>
  </si>
  <si>
    <t>ESCOBEDO-SILVA-FELICIANO</t>
  </si>
  <si>
    <t>ALANOCA-CUBA--JORGE-HUGO</t>
  </si>
  <si>
    <t>APV--FERROVIARIOS-MZ--Q---9</t>
  </si>
  <si>
    <t>OR030164</t>
  </si>
  <si>
    <t>ZARATE-LONCONE--LUZ-MARINA</t>
  </si>
  <si>
    <t>APV--FERROVIARIOS-D-5---SAYLLA</t>
  </si>
  <si>
    <t>PEREYRA-BLANCO--LUZ-MARINA</t>
  </si>
  <si>
    <t>ASOC--FERROVIARIOS-N-6---SAYLL</t>
  </si>
  <si>
    <t>HUARACALLO-MU-OZ--BONNIE</t>
  </si>
  <si>
    <t>ASOC--FERROVIARIOS-MZ--N---1--</t>
  </si>
  <si>
    <t>CHAVEZ-TAMAYO-WENCESLAO</t>
  </si>
  <si>
    <t>MARQUEZ-QUI-ONES--MARIA-ESPERA</t>
  </si>
  <si>
    <t>APV--TRABAJADORES-FERROVIARIOS</t>
  </si>
  <si>
    <t>MENDOZA-LOPE--PASCUALA</t>
  </si>
  <si>
    <t>APV-TABAJADORES-FERROVIARIOS-M</t>
  </si>
  <si>
    <t>AMAO-CUTIPA--LUPE-TERESA</t>
  </si>
  <si>
    <t>APV--FERROVIARIO-MZ--N---16---</t>
  </si>
  <si>
    <t>OR030136</t>
  </si>
  <si>
    <t>QUISPE-LIMA--ISIDRO</t>
  </si>
  <si>
    <t>TAMBILLO-C-9</t>
  </si>
  <si>
    <t>ZEVALLOS-QUISPERIMACHI--MARCO</t>
  </si>
  <si>
    <t>A-P-V--TAMBILLO-S-N-SAYLLA</t>
  </si>
  <si>
    <t>MENDOZA-MU-OZ--MARIA-ELENA</t>
  </si>
  <si>
    <t>APV-TAMBILLO-S-N</t>
  </si>
  <si>
    <t>HERRERA-CHINCHERO--OMAR</t>
  </si>
  <si>
    <t>APV--FUNDO-ACCOYOC-H-24---SAYL</t>
  </si>
  <si>
    <t>OJEDA-ARQQUE--BONIFACIA</t>
  </si>
  <si>
    <t>APV--FUNDO-ACCOYOC-A--3-</t>
  </si>
  <si>
    <t>OR030258</t>
  </si>
  <si>
    <t>CHINCHERCOMA-TACURI--SAMUEL</t>
  </si>
  <si>
    <t>AV--3-DE-MAYO-S-N---SAYLLA</t>
  </si>
  <si>
    <t>CARLOS-SAPACAYO--ALFREDO</t>
  </si>
  <si>
    <t>CONDEBAMBILLA---SAYLLA</t>
  </si>
  <si>
    <t>FLORES-DE-PAKGO--LEONOR</t>
  </si>
  <si>
    <t>SAICO--SANTE--AURELIA</t>
  </si>
  <si>
    <t>APV--AGUA-VIDA-CONDEBAMBA---S-</t>
  </si>
  <si>
    <t>VILLALOBOS--HURTADO--ISIDORA</t>
  </si>
  <si>
    <t>RADO-COLQQUE--MELVA</t>
  </si>
  <si>
    <t>APV--SUIZA-MZ--H---3-----SAYLL</t>
  </si>
  <si>
    <t>HUAMAN-PUMA--CLAUDIA</t>
  </si>
  <si>
    <t>APV--AGUA-VIDA-CONDEBAMBA---T-</t>
  </si>
  <si>
    <t>SALAZAR-PAUCAR--MARIA-NELLY</t>
  </si>
  <si>
    <t>APV--AGUA-VIDA-CONDEBAMBA---F-</t>
  </si>
  <si>
    <t>LUPO-REMACHI--BIBIANA-AURELIA</t>
  </si>
  <si>
    <t>APV--AGUA-VIDA-CONDEBAMBA---E-</t>
  </si>
  <si>
    <t>COLQUE-MENDOZA--VIRGILIO</t>
  </si>
  <si>
    <t>APV--AGUA-VIDA-CONDEBAMBA---A-</t>
  </si>
  <si>
    <t>VENTURA-PHARI--FRANCISCO</t>
  </si>
  <si>
    <t>OR030346</t>
  </si>
  <si>
    <t>HUAMAN-CHARA--AMERICO</t>
  </si>
  <si>
    <t>APV--RESIDENTES-DE-CCTCCA-LT5-</t>
  </si>
  <si>
    <t>PALOMINO-TRIVE-O--MARCELINA</t>
  </si>
  <si>
    <t>APV--RESIDENTES-DE-CCATCA-LT-A</t>
  </si>
  <si>
    <t>OR030372</t>
  </si>
  <si>
    <t>ZAVALETA-ANGULO--MELQUIADES</t>
  </si>
  <si>
    <t>APV--EL-MIRADOR-QUINTA-ETAPA-M</t>
  </si>
  <si>
    <t>TUPA-HUARANCA--GEORGINA</t>
  </si>
  <si>
    <t>APV--EL-MIRADOR-QUINTA-ETAPA-L</t>
  </si>
  <si>
    <t>FARFAN-LIMA--VIRGINIA</t>
  </si>
  <si>
    <t>LOS-JARDINES-DEL-MIRADOR-MZ-A-</t>
  </si>
  <si>
    <t>PAUCAR-LIMACHE--ROGER-CLAUDIO</t>
  </si>
  <si>
    <t>APV--LOS-JARDINES-DEL-MIRADOR-</t>
  </si>
  <si>
    <t>QUISPE-QUISPE--FRANCISCO</t>
  </si>
  <si>
    <t>SEC--LOROPU-UNA-APV-AGUA-VIVA-</t>
  </si>
  <si>
    <t>HUAMAN-ALVARO--DIONICIA</t>
  </si>
  <si>
    <t>APV--VILLA-REAL-COMDEBANBA-MZ-</t>
  </si>
  <si>
    <t>HUAMAN-ALVARO--FREDY</t>
  </si>
  <si>
    <t>ESPINOZA-QUISPE--CLEMENCIA</t>
  </si>
  <si>
    <t>APV--VILLA-REAL-CONDEBAMBA-I--</t>
  </si>
  <si>
    <t>LOAIZA-AGUILAR--ANDRES-AVELINO</t>
  </si>
  <si>
    <t>YANA-CONDORI--FORTUNATO</t>
  </si>
  <si>
    <t>AV-LA-COLINA-DE-SAYLLA-A-2-SAY</t>
  </si>
  <si>
    <t>HUANACO-HUAMANI--MARIA-LUZ</t>
  </si>
  <si>
    <t>APV--LA-COLINA-COMDEBAMBILLA-M</t>
  </si>
  <si>
    <t>PASO-CCALLATA--SANTOS</t>
  </si>
  <si>
    <t>ASOC----COLINA-DE-SAYLLA-COND-</t>
  </si>
  <si>
    <t>OR030427</t>
  </si>
  <si>
    <t>QUISPE-ARANA--LUCILA</t>
  </si>
  <si>
    <t>ASOC--SOL-NACIENTE-MZ--C---4-1</t>
  </si>
  <si>
    <t>AMAO-CONDE--YANET</t>
  </si>
  <si>
    <t>ASOC-SOL-NACIENTE-MZ-N-7-SAYLL</t>
  </si>
  <si>
    <t>LUCRE</t>
  </si>
  <si>
    <t>PI030909</t>
  </si>
  <si>
    <t>I-E--SEGUNADARIO--VILCABAMBA--</t>
  </si>
  <si>
    <t>CCANUPATA-S-N---CAICAY-</t>
  </si>
  <si>
    <t>CAICAY</t>
  </si>
  <si>
    <t>CALLO-SANCHEZ--HERMINIA</t>
  </si>
  <si>
    <t>AV--28-DE-JULIO-MZ--L-7---CAIC</t>
  </si>
  <si>
    <t>MALLA-ACOSTA--JAVIER</t>
  </si>
  <si>
    <t>SANTA-ROSA-E--3---CAYCAY</t>
  </si>
  <si>
    <t>VIZCARRA-MALDONADO--MAX-WILFRE</t>
  </si>
  <si>
    <t>AV--SANTA-ROSA-S-N---CAICAY</t>
  </si>
  <si>
    <t>CCOYOCCOSI-BRAVO--SONIA</t>
  </si>
  <si>
    <t>CALLE-TUPAC-AMARU-S-N---CAICAY</t>
  </si>
  <si>
    <t>PINO-HUAMAN--AMBROSIO-FILOMENO</t>
  </si>
  <si>
    <t>CALLE-ESPINAR-S-N</t>
  </si>
  <si>
    <t>RAMOS-CONDORI--ASUNTA</t>
  </si>
  <si>
    <t>CALLE-PAUCARTAMBO-S-N-CAICAY</t>
  </si>
  <si>
    <t>PI030901</t>
  </si>
  <si>
    <t>RODRIGUEZ-TORRES-GUILLERMO</t>
  </si>
  <si>
    <t>VILCABAMBA-S-N</t>
  </si>
  <si>
    <t>DELGADO-ASTETE-WALTER</t>
  </si>
  <si>
    <t>CHAVEZ-BACA--BENJAMIN</t>
  </si>
  <si>
    <t>CAPILLA-VILCABAMBA</t>
  </si>
  <si>
    <t>ZAPATA-CUTIPA--NORMA</t>
  </si>
  <si>
    <t>SECT--SAUCE-PATA----VILCABAMBA</t>
  </si>
  <si>
    <t>MACCARCCO-HUARCA--INDALECIO</t>
  </si>
  <si>
    <t>VILCABAMBA-S-N---LUCRE-</t>
  </si>
  <si>
    <t>PI030899</t>
  </si>
  <si>
    <t>SIHUI-ARAGON--DOROTEA</t>
  </si>
  <si>
    <t>VILCABAMBA-S-N-</t>
  </si>
  <si>
    <t>PI030911</t>
  </si>
  <si>
    <t>TECSI-HUAMAN--VICENTINA</t>
  </si>
  <si>
    <t>COM--DE-CCOLLOTARO-CAICAY</t>
  </si>
  <si>
    <t>PI030910</t>
  </si>
  <si>
    <t>TTITO-JUSCCA--PABLO</t>
  </si>
  <si>
    <t>C-C--CCOYARAQUI---CAICAY---PAU</t>
  </si>
  <si>
    <t>URCOS</t>
  </si>
  <si>
    <t>HU010002</t>
  </si>
  <si>
    <t>MARTIARENA--VALERIO--NN</t>
  </si>
  <si>
    <t>JR-KENNEDY-S-N</t>
  </si>
  <si>
    <t>MACEDO-RODRIGUEZ--LUZ-MARLENE</t>
  </si>
  <si>
    <t>JR-KENNEDY-375---URCOS</t>
  </si>
  <si>
    <t>UNANCHA-QUISPE--AURELIO</t>
  </si>
  <si>
    <t>GONZALES-MAMANI--BENEDICTO</t>
  </si>
  <si>
    <t>URB-VISTA-ALEGRE-S-N-URC-</t>
  </si>
  <si>
    <t>CCARHUARUPAY-DE-REYES--ALBERTI</t>
  </si>
  <si>
    <t>JR--KENEDY-N--298---URCOS</t>
  </si>
  <si>
    <t>HU010001</t>
  </si>
  <si>
    <t>YABAR-DE--LINARES-ANA</t>
  </si>
  <si>
    <t>JR-KENNEDY-N-103-C</t>
  </si>
  <si>
    <t>LINARES-RODRIGUEZ--POLICARPO</t>
  </si>
  <si>
    <t>JR--ARICA-S-N</t>
  </si>
  <si>
    <t>HUAMAN--CASIMIRO</t>
  </si>
  <si>
    <t>JR-CUSCO-321</t>
  </si>
  <si>
    <t>JOVE-CAHUANA-PEDRO</t>
  </si>
  <si>
    <t>JR--CUSCO-376-URCOS</t>
  </si>
  <si>
    <t>SANTA-CRUZ-HUILLCAHUAMAN--NANC</t>
  </si>
  <si>
    <t>CALLE-TACNA-N--127---URCOS</t>
  </si>
  <si>
    <t>ZECENARRO-RUIZ--LOURDES</t>
  </si>
  <si>
    <t>JR--TACNA-N--190</t>
  </si>
  <si>
    <t>CASTRO-LOPEZ--JULIO-CONAL</t>
  </si>
  <si>
    <t>JR--TACNA---URCOS</t>
  </si>
  <si>
    <t>HURTADO-CAMPO-VALENTIN</t>
  </si>
  <si>
    <t>JR--HUASCAR-217</t>
  </si>
  <si>
    <t>LINARES--POLICARPIO</t>
  </si>
  <si>
    <t>JR-HUASCAR-181</t>
  </si>
  <si>
    <t>OBLITAS--MOISES</t>
  </si>
  <si>
    <t>JR--HUASCAR-133</t>
  </si>
  <si>
    <t>YABAR-LOPEZ--ANA-MARIA-JESUS</t>
  </si>
  <si>
    <t>JR-FIGUEREDO-134</t>
  </si>
  <si>
    <t>RUIZ-NINA-ELSA</t>
  </si>
  <si>
    <t>TAMBOPATA-S-N</t>
  </si>
  <si>
    <t>DURAN-ALFARO--FELIPE</t>
  </si>
  <si>
    <t>FRANCISCA-ZUBIAGA--138</t>
  </si>
  <si>
    <t>YABAR-PUENTE-DE-LA-VEGA-JOSE</t>
  </si>
  <si>
    <t>FRANCISCA-ZUBIAGA-181</t>
  </si>
  <si>
    <t>QUISPE-PINO--JOSE-CARLOS</t>
  </si>
  <si>
    <t>JR--ALFONSO-UGARTE-LT-8-MZ-W--</t>
  </si>
  <si>
    <t>GONZALES-C---NATIVIDA</t>
  </si>
  <si>
    <t>JR-CESAR-VALLEJO-S-N</t>
  </si>
  <si>
    <t>CARDOSO-JARA--ANIBAL</t>
  </si>
  <si>
    <t>CESAR-VALLEJO-S-N-</t>
  </si>
  <si>
    <t>HU010332</t>
  </si>
  <si>
    <t>HUILLCA-UTURUNCO--BERNABE</t>
  </si>
  <si>
    <t>AV--R--DE-CUBA-S-N--URCOS</t>
  </si>
  <si>
    <t>HUISA-HUILLCAHUAMAN--GLORIA-AM</t>
  </si>
  <si>
    <t>CALLE-LOS-OLIVOS-S-N---URCOS</t>
  </si>
  <si>
    <t>HUAMAN--HIGIDIO</t>
  </si>
  <si>
    <t>JR-MIGUEL-GRAU-S-N</t>
  </si>
  <si>
    <t>SOTO-ANDIA--JULIO-GUILLERMO</t>
  </si>
  <si>
    <t>JR--BELAUNDE-TERRY--N-136---UR</t>
  </si>
  <si>
    <t>FLORES-FERNANDEZ-DE-SOTO--MARI</t>
  </si>
  <si>
    <t>JR-BELAUNDE-TERRY-136</t>
  </si>
  <si>
    <t>CORNEJO-PORTILLO--JUANA-ALCIRA</t>
  </si>
  <si>
    <t>JR--BELAUNDE-TERRY-N-150---URC</t>
  </si>
  <si>
    <t>FERNANDEZ-SUNI--ABELINA</t>
  </si>
  <si>
    <t>JR-BELAUNDE-TERRY--152--URCOS</t>
  </si>
  <si>
    <t>QUISPE--RICARDO</t>
  </si>
  <si>
    <t>JR-BELAUNDE-272</t>
  </si>
  <si>
    <t>CHOQUEHUALLPA-HUALLPA--HIPOLIT</t>
  </si>
  <si>
    <t>JR-BELAUNDE-S-N</t>
  </si>
  <si>
    <t>CASTILLO--MATEO</t>
  </si>
  <si>
    <t>JR--MELGAR-S-N</t>
  </si>
  <si>
    <t>FLORES-DE-SANCHEZ--FILOMENA</t>
  </si>
  <si>
    <t>JR--ZEPITA-S-N</t>
  </si>
  <si>
    <t>HUILLCAHUAMAN-C-JESU</t>
  </si>
  <si>
    <t>CALLE-SOLITARIO-S-N-</t>
  </si>
  <si>
    <t>CASA-HUALLPA-FRANCISCA</t>
  </si>
  <si>
    <t>APV--VIRGEN-INMACULADA-C5</t>
  </si>
  <si>
    <t>HUILLCAHUAMAN-HUAMAN--RUFINA</t>
  </si>
  <si>
    <t>APV--VIRGEN-INMACULADA-D3</t>
  </si>
  <si>
    <t>APV-VIRGEN-INMACULADA-CONCEPCI</t>
  </si>
  <si>
    <t>CALLE-8-DE-DICIEMBRE-APV-VIRGE</t>
  </si>
  <si>
    <t>ROQUE-UZCACHI--ALICIA-ZENAIDA</t>
  </si>
  <si>
    <t>PSJ--SANTA-ROSA-S-N</t>
  </si>
  <si>
    <t>SALAZAR-MAMANI--CRISOLOGA</t>
  </si>
  <si>
    <t>AV--MARIANO-SANTOS-S-N---MARIA</t>
  </si>
  <si>
    <t>HU010103</t>
  </si>
  <si>
    <t>HUALLPA-CORDERO--HELSA</t>
  </si>
  <si>
    <t>MU-APATA---CALLE-CALICANTOS-</t>
  </si>
  <si>
    <t>HU010003</t>
  </si>
  <si>
    <t>CASTILLO-MENZALA--SABINO</t>
  </si>
  <si>
    <t>AV-MARIANO-SANTOS-S-N</t>
  </si>
  <si>
    <t>FERROCARRIL-TRANSANDINO-S-A-</t>
  </si>
  <si>
    <t>LINEA-FERREA-----URCOS</t>
  </si>
  <si>
    <t>PINTO-QUISPE--GERTRUDIS</t>
  </si>
  <si>
    <t>JR-AUSANGATE-S-N-</t>
  </si>
  <si>
    <t>MAMANI-QUISPE--FANNY</t>
  </si>
  <si>
    <t>JR--DE-LA-UNION-LT--F-9---TAMB</t>
  </si>
  <si>
    <t>SUCA-MAMANI--EDGAR-TEOFILO</t>
  </si>
  <si>
    <t>AV--VILCANOTA-S-N---URCOS</t>
  </si>
  <si>
    <t>OVIEDO-VDA-DE-P-MARG</t>
  </si>
  <si>
    <t>JR--SAENZ-PENA-145</t>
  </si>
  <si>
    <t>FLOREZ-CCARHUARUPAY--DOMINGA</t>
  </si>
  <si>
    <t>JR--SAENZ-PE-A-N-239---URCOS-</t>
  </si>
  <si>
    <t>TORRES-DELGADO--SABINA</t>
  </si>
  <si>
    <t>AV--TUPAC-AMARU--F-2---21</t>
  </si>
  <si>
    <t>HU010004</t>
  </si>
  <si>
    <t>CUTIPA-FLOREZ-MARIO</t>
  </si>
  <si>
    <t>URB--TUPAC-AMARU-A-14</t>
  </si>
  <si>
    <t>DELGADO--AGRIPINA</t>
  </si>
  <si>
    <t>TUPAC-AMARU-B-1</t>
  </si>
  <si>
    <t>YAURI-CCARHUARUPAY--SONIA</t>
  </si>
  <si>
    <t>URB-TUPAC-AMARU-B-9</t>
  </si>
  <si>
    <t>HUISA-YUPA--DANY-DANIEL</t>
  </si>
  <si>
    <t>AV--EDUARDO-AZTETE-M--MZ--B---</t>
  </si>
  <si>
    <t>GARCIA-SERRANO--CAROL-ADRIANA</t>
  </si>
  <si>
    <t>AV--E--ASTETE-C-30-URB--TUPAC-</t>
  </si>
  <si>
    <t>HUALLPA-JARA-MARISOL</t>
  </si>
  <si>
    <t>URB--TUPAC-AMARU-D-3</t>
  </si>
  <si>
    <t>FERNANDEZ-QUISPE--JHONATAN-ENR</t>
  </si>
  <si>
    <t>URB--TUPAC-AMARU-E-19-URCOS</t>
  </si>
  <si>
    <t>QUISPE--GENARA</t>
  </si>
  <si>
    <t>URB--TUPAC-AMARU-S-N</t>
  </si>
  <si>
    <t>TACURI-HUALLA--FAUSTO</t>
  </si>
  <si>
    <t>ASOC--TUPAC-AMARU-P-7</t>
  </si>
  <si>
    <t>CORNEJO-ZAPATA--ELIAS-SATURNIN</t>
  </si>
  <si>
    <t>AV--TENIENTE-EDUARDO-ASTETE-ME</t>
  </si>
  <si>
    <t>HUANCA-YUCA--RUTH-INDIRA</t>
  </si>
  <si>
    <t>LT-I-27---URB-TUPAC-AMARU---UR</t>
  </si>
  <si>
    <t>GONZALES-MAMANI-JULIA</t>
  </si>
  <si>
    <t>URB--TUPAC-AMARU-M-18</t>
  </si>
  <si>
    <t>FERNANDEZ-CONDORI--TEODORA</t>
  </si>
  <si>
    <t>URB-TUPAC-AMARU-S-N---URCOS</t>
  </si>
  <si>
    <t>ZEVALLOS-COSINY--ISABEL</t>
  </si>
  <si>
    <t>URB-TUPAC-AMARU-N--16---URCOS</t>
  </si>
  <si>
    <t>HALISTO-CHAMPI--PAULINO</t>
  </si>
  <si>
    <t>URB--TUPAC-AMARU--O-15---URCOS</t>
  </si>
  <si>
    <t>NINA-CCOYA--ABELARDO</t>
  </si>
  <si>
    <t>APV--ASAMBLEAS-DE-DIOS-CALLE-P</t>
  </si>
  <si>
    <t>MULLISACA-MULLISACA--PERCY-GUZ</t>
  </si>
  <si>
    <t>APV--ASAMBLEAS-DE-DIOS-MZ--B--</t>
  </si>
  <si>
    <t>MUNICIPALIDAD-PROVINCIAL-DE-QU</t>
  </si>
  <si>
    <t>JR--MIGUEL-GRAU-S-N</t>
  </si>
  <si>
    <t>CHATA-MEDINA-SIMEONA</t>
  </si>
  <si>
    <t>URB--CRISTO-SALVADOR-S-N-</t>
  </si>
  <si>
    <t>HU040040</t>
  </si>
  <si>
    <t>PRONOEI-CJUNUCUNCA-N-2360003</t>
  </si>
  <si>
    <t>ANEXO-CJUNUCUNCA-CC--MU-APATA</t>
  </si>
  <si>
    <t>TAYPE-QUISPE--MARTIN</t>
  </si>
  <si>
    <t>COMUN-CCUNUCUNCA---S-N</t>
  </si>
  <si>
    <t>FPURO-TAI-A--PILAR</t>
  </si>
  <si>
    <t>COM-CCUNUCUNCA-S-N</t>
  </si>
  <si>
    <t>MAMANI-YUCRA--ALICIA</t>
  </si>
  <si>
    <t>COMUNIDAD-DE-CJUNUCUNCA-S-N---</t>
  </si>
  <si>
    <t>HU010011</t>
  </si>
  <si>
    <t>CAPILLA-PAMPACHULLA</t>
  </si>
  <si>
    <t>PAMPACHULLA</t>
  </si>
  <si>
    <t>CUTIPA-HUAYHUA-SIMEON</t>
  </si>
  <si>
    <t>PAMPACHULLA-S-N</t>
  </si>
  <si>
    <t>HU010009</t>
  </si>
  <si>
    <t>TUNQUI-YUPANQUI--OSCAR</t>
  </si>
  <si>
    <t>PAMPACHULLA-MEDIO-S-N</t>
  </si>
  <si>
    <t>HUAMAN-VIVANCO--SONIA</t>
  </si>
  <si>
    <t>HATUNHUAYLLA-S-N---PAMPACHULLA</t>
  </si>
  <si>
    <t>HU010257</t>
  </si>
  <si>
    <t>HUAMAN-HUAYHUA--BEATRIZ</t>
  </si>
  <si>
    <t>HU010006</t>
  </si>
  <si>
    <t>QUISPE--LAZARO</t>
  </si>
  <si>
    <t>MUNAPATA-S-N</t>
  </si>
  <si>
    <t>COMITE-DE-JOVENES-MU-APATA</t>
  </si>
  <si>
    <t>C-C--DE-MU-APATA-S-N---URCOS</t>
  </si>
  <si>
    <t>HU040272</t>
  </si>
  <si>
    <t>DURAN-ANCCALLE--UBALDINO</t>
  </si>
  <si>
    <t>SECTOR-SIUSA---SALLAC---URCOS</t>
  </si>
  <si>
    <t>HU040273</t>
  </si>
  <si>
    <t>YNQUILLAY-APASA--BERNARDINO</t>
  </si>
  <si>
    <t>C-C--SALLAC---TTIKAPALLANA</t>
  </si>
  <si>
    <t>INQUILLAY-QUISPE--EUSEBIO</t>
  </si>
  <si>
    <t>TURPO-ANCCALLI--PORFIRIO</t>
  </si>
  <si>
    <t>ANCCALLI-QUISPE--SEGUNDA</t>
  </si>
  <si>
    <t>HU010005</t>
  </si>
  <si>
    <t>HUAMAN-CHOQUE-MIGUEL-ANGEL</t>
  </si>
  <si>
    <t>PARROCAN-S-N</t>
  </si>
  <si>
    <t>HUAMAN--SEGUNDINA</t>
  </si>
  <si>
    <t>TURPO-CHURA-PAULINA</t>
  </si>
  <si>
    <t>HU040101</t>
  </si>
  <si>
    <t>LUNA-RODRIGUEZ--ANGELICA</t>
  </si>
  <si>
    <t>COMUNIDAD-SALLAC</t>
  </si>
  <si>
    <t>INQUILLAY-APAZA-SUSANA</t>
  </si>
  <si>
    <t>HU040121</t>
  </si>
  <si>
    <t>HUAYNASI-HUAMAN-ELENA</t>
  </si>
  <si>
    <t>SECTOR-IPACUNA-CCO-AMURO</t>
  </si>
  <si>
    <t>MALPARTIDA-AYMA--EDISON</t>
  </si>
  <si>
    <t>SECTOR-OSCOMACHAY---URCOS</t>
  </si>
  <si>
    <t>HUAMAN-CHOQQUENAYRA--GREGORIO</t>
  </si>
  <si>
    <t>SECTOR-IPACUNA-C-CONAMURO</t>
  </si>
  <si>
    <t>HUAMAN-QUISPE--YESICA</t>
  </si>
  <si>
    <t>SEC-IPACUNA---CCO-AMURO-</t>
  </si>
  <si>
    <t>HU040122</t>
  </si>
  <si>
    <t>YUPANQUI-HUACCAMAYTA-TOMASA</t>
  </si>
  <si>
    <t>SECTOR-MARCANI-C-CONAMURO</t>
  </si>
  <si>
    <t>ESTRADA-QUISPE-CRISTOBAL</t>
  </si>
  <si>
    <t>MAMANI-LAURA-MANUEL-JESUS</t>
  </si>
  <si>
    <t>SECTOR-MARCANI-C-CO-AMURO</t>
  </si>
  <si>
    <t>HU010012</t>
  </si>
  <si>
    <t>USCACHI-R--JUAN</t>
  </si>
  <si>
    <t>C-MOLLEBAMBA</t>
  </si>
  <si>
    <t>MENDOZA-USCACHI--PAULINO</t>
  </si>
  <si>
    <t>HUILLCAHUAMAN--MARCO</t>
  </si>
  <si>
    <t>QUI-ONEZ-YUPANQUI-ALCIDES</t>
  </si>
  <si>
    <t>MOLLEBAMBA-S-N</t>
  </si>
  <si>
    <t>TARACAYA-CCA-IHUA--GLORIA</t>
  </si>
  <si>
    <t>ESTACION---MOLLEBAMBA</t>
  </si>
  <si>
    <t>YUCRA-CCANASI--MARIBEL</t>
  </si>
  <si>
    <t>C-C--MOLLEBMBA-S-N---URCOS</t>
  </si>
  <si>
    <t>HUILLCAHUAMAN-HUILLCAHUAMAN--J</t>
  </si>
  <si>
    <t>SEC--SAN-ISIDRO-S-N---MOLLEBAM</t>
  </si>
  <si>
    <t>HUILLCAHUAMAN-HUILLCAHUAMAN--C</t>
  </si>
  <si>
    <t>C-MOLLEBAMBA-S-N</t>
  </si>
  <si>
    <t>QUISPE-HUILLCAHUAMAN--WILFREDO</t>
  </si>
  <si>
    <t>CHUPANHUARO-MOLLEBAMBA-S-N---U</t>
  </si>
  <si>
    <t>CUTIPA-HUAYHUA--DARWIN-IVAN</t>
  </si>
  <si>
    <t>CC--CHUPAN-HUARO---MOLLEBAMBA-</t>
  </si>
  <si>
    <t>PINTO-POLO--JOSE-MANUEL</t>
  </si>
  <si>
    <t>PREDIO-LA-ISLA-MOLLEBAMBA</t>
  </si>
  <si>
    <t>HU010035</t>
  </si>
  <si>
    <t>QUISPE-HUANCA-ALFONSO</t>
  </si>
  <si>
    <t>HUANCCARA---S-N</t>
  </si>
  <si>
    <t>QUISPE-HUAMAN--BENITO</t>
  </si>
  <si>
    <t>QUISPE-HUANCA-FRANCISCA</t>
  </si>
  <si>
    <t>CCANIHUA-RUIZ-JESUS</t>
  </si>
  <si>
    <t>ANDAHUAYLILLAS</t>
  </si>
  <si>
    <t>HU030018</t>
  </si>
  <si>
    <t>PILARES--NICANOR</t>
  </si>
  <si>
    <t>BOLOGNESI-S-N</t>
  </si>
  <si>
    <t>CCAHUANA-TICU-A--ROBERT-AUGUST</t>
  </si>
  <si>
    <t>VALLENAS-PAJA--JOSE-MIGUEL</t>
  </si>
  <si>
    <t>CALLE-AREQUIPA-N-312---ANDAHUA</t>
  </si>
  <si>
    <t>QUISPE-PACCORI--CORNELIO</t>
  </si>
  <si>
    <t>AREQUIPA-S-N---ANDAHUAYLILLAS</t>
  </si>
  <si>
    <t>DAVILA-GALLEGOS--VICTOR-VALENT</t>
  </si>
  <si>
    <t>SAN-MARTIN-S-N</t>
  </si>
  <si>
    <t>ZAPATA-CCORIMAYA--IRENE</t>
  </si>
  <si>
    <t>GARCILASO-424</t>
  </si>
  <si>
    <t>APAZA-PILARES--JOSE-CARLOS</t>
  </si>
  <si>
    <t>GARCILASO-S-N</t>
  </si>
  <si>
    <t>CALLE-CUSCO-N-500---ANDAHUAYLI</t>
  </si>
  <si>
    <t>CALLE-HUASCAR---ANDAHUAYLLILLA</t>
  </si>
  <si>
    <t>CALLE-QUISPICANCHI-23-AND</t>
  </si>
  <si>
    <t>MOSCOSO-AUCCAPI-A--EDUARDO</t>
  </si>
  <si>
    <t>QUISPICANCHI-S-N---ANDAHUAYLIL</t>
  </si>
  <si>
    <t>VALENCIA-MAMANI--JUANA</t>
  </si>
  <si>
    <t>CALLE-ARICA-ANDAHUAYLLILLAS</t>
  </si>
  <si>
    <t>HU030019</t>
  </si>
  <si>
    <t>APARICIO-FLORES--ZENOBIA-MELCH</t>
  </si>
  <si>
    <t>MENSALA-CAMERO-PORFI</t>
  </si>
  <si>
    <t>CALLE-CUSCO-N-702</t>
  </si>
  <si>
    <t>VALVERDE-GAVANCHO--BELEN</t>
  </si>
  <si>
    <t>CALLE-SAN-MARTIN-S-N---OROPESA</t>
  </si>
  <si>
    <t>MEDRANO--JULIAN</t>
  </si>
  <si>
    <t>CUSCO-S-N</t>
  </si>
  <si>
    <t>PALOMINO-CHICHE--CLARA</t>
  </si>
  <si>
    <t>CALLE-CUSCO--ANDAHUAYLLILLAS</t>
  </si>
  <si>
    <t>MOLINA-CHAVEZ--MAURO</t>
  </si>
  <si>
    <t>CALLE-CUSCO-N--823---ANDAHUAYL</t>
  </si>
  <si>
    <t>HUILLCAHUAMAN-ANAYA--YANET</t>
  </si>
  <si>
    <t>CALLE-JUSTICIA---ANDAHUAYLILLA</t>
  </si>
  <si>
    <t>GUTIERREZ-FLORES--ALEJANDRA</t>
  </si>
  <si>
    <t>PROL--GRAU----ANDAHUAYLILLAS</t>
  </si>
  <si>
    <t>ARAUJO-HERRERA--MATEO</t>
  </si>
  <si>
    <t>MARABAMBA-S-N</t>
  </si>
  <si>
    <t>WAGNER-COSIO--NELI-ESPERANZA</t>
  </si>
  <si>
    <t>CALLE-GRAU-N-500----ANDAHUAYLI</t>
  </si>
  <si>
    <t>HU030100</t>
  </si>
  <si>
    <t>COOPERATIVA-AGRARIA-DEL-USUARI</t>
  </si>
  <si>
    <t>CALLE-PERU-S-N---RINCONADA---A</t>
  </si>
  <si>
    <t>HU030092</t>
  </si>
  <si>
    <t>CHILO-HUAMAN--OLINDA</t>
  </si>
  <si>
    <t>APV--SE-OR-DE-HUANCA-MZ--LT--1</t>
  </si>
  <si>
    <t>RIMAYHUAMAN-ASIN--EDGAR</t>
  </si>
  <si>
    <t>URB--SE-OR-DE-HUANCA</t>
  </si>
  <si>
    <t>QUISPE-FLORES--CRISTINA</t>
  </si>
  <si>
    <t>COM--DE-SALLOC---ANDAHUAYLLILL</t>
  </si>
  <si>
    <t>HU030213</t>
  </si>
  <si>
    <t>MAMANI-QUISPE--EULOGIO</t>
  </si>
  <si>
    <t>APV-NUEVA-GENERACION-MZ-G---LT</t>
  </si>
  <si>
    <t>GUTIERREZ-FERNANDEZ--ESTEBAN</t>
  </si>
  <si>
    <t>APV-NUEVA-GENERACION-MZ-E---LT</t>
  </si>
  <si>
    <t>TTITO-OCSA--CELIA</t>
  </si>
  <si>
    <t>APV--NUEVA-GENERACION--S-N---A</t>
  </si>
  <si>
    <t>QUISPE-JIMENEZ--GUALBERTINA</t>
  </si>
  <si>
    <t>APV--NUEVA-GENERACION-MZ-I---A</t>
  </si>
  <si>
    <t>ONOFRE-CAMACHO--LIDIA</t>
  </si>
  <si>
    <t>SEC--TEJECANANA-S-N---ANDAHUAY</t>
  </si>
  <si>
    <t>CONDORI-VENTURA--ADOLFO</t>
  </si>
  <si>
    <t>CALLE-MIRAFLORES-S-N---ANDAHUA</t>
  </si>
  <si>
    <t>PACHECO-MAMANI--EUFEMIA</t>
  </si>
  <si>
    <t>QUEHUAR-ANDAHUAYLILLAS</t>
  </si>
  <si>
    <t>UGARTE-MOZO--CELINDA</t>
  </si>
  <si>
    <t>C-C-MARABAMBA--ANDAHUAYLILLAS</t>
  </si>
  <si>
    <t>HU030256</t>
  </si>
  <si>
    <t>LAIME-MOLINA--LILIAN-CELESTINA</t>
  </si>
  <si>
    <t>SECT--CERCADO-S-N----ANDAHUAYL</t>
  </si>
  <si>
    <t>HU030184</t>
  </si>
  <si>
    <t>BARRIONUEVO-LLOCLLE--JOSEFINA</t>
  </si>
  <si>
    <t>MANANTIAL--ANDAHUAYLLILLAS</t>
  </si>
  <si>
    <t>HU030392</t>
  </si>
  <si>
    <t>ENRIQUEZ-MAMANI--JUAN-GUALBERT</t>
  </si>
  <si>
    <t>APV--VILLA-HERMOSA-SEC--ANTAHU</t>
  </si>
  <si>
    <t>VARGAS-HERRERA--TERESA</t>
  </si>
  <si>
    <t>HU030391</t>
  </si>
  <si>
    <t>TURPO-CCALLATA--REBECA</t>
  </si>
  <si>
    <t>SULLASI-QUISPE--DELIA</t>
  </si>
  <si>
    <t>APV--VILCANOTA-B---6---ANDAHUA</t>
  </si>
  <si>
    <t>HU020014</t>
  </si>
  <si>
    <t>HUAMPA-CAHUANA--IRMA-KARINA</t>
  </si>
  <si>
    <t>HU030020</t>
  </si>
  <si>
    <t>SOLANO-BUSTILLOS--JIM-LINO</t>
  </si>
  <si>
    <t>ENTRADA-LA-PLAYA-S-N-PI-IPAMPA</t>
  </si>
  <si>
    <t>MENDOZA-MAMANI--YANET</t>
  </si>
  <si>
    <t>PISTA-PRINCIPAL-CUSCO-URCOS---</t>
  </si>
  <si>
    <t>TARIFA-CCACYANCCO--ESTHER-ABIG</t>
  </si>
  <si>
    <t>CENTRO-POBLADO-PI-IPAMPA---AND</t>
  </si>
  <si>
    <t>VILCAPAZA-TAIPE--MARINA</t>
  </si>
  <si>
    <t>C--P--DE-PI-IPAMPA-S-N---ANDAH</t>
  </si>
  <si>
    <t>HU030038</t>
  </si>
  <si>
    <t>USCCACHI-MAMANI--BERNARDINO</t>
  </si>
  <si>
    <t>SECSENCALLA---S-N</t>
  </si>
  <si>
    <t>HUAMAN-QUISPE-BAUTISTA</t>
  </si>
  <si>
    <t>MAMANI-VARGAS-AURELIA</t>
  </si>
  <si>
    <t>SECSENCALLA-S-N</t>
  </si>
  <si>
    <t>HU030078</t>
  </si>
  <si>
    <t>HUILLCA-QUISPE-BENITO-F-</t>
  </si>
  <si>
    <t>YUTTO-S-N</t>
  </si>
  <si>
    <t>FLORES-VALENCIA-ZENOBIO</t>
  </si>
  <si>
    <t>FLORES-VALENCIA--ZENOVIO</t>
  </si>
  <si>
    <t>YUTTO---ANDAHUAYLILLAS</t>
  </si>
  <si>
    <t>VARGAS-GUTIERREZ--VALENTIN</t>
  </si>
  <si>
    <t>CCOA-QUISPE--RAMON</t>
  </si>
  <si>
    <t>VARGAS-ROQUE--JUSTINO</t>
  </si>
  <si>
    <t>CC-YUTTO-S-N---ANDAHUAYLILLAS-</t>
  </si>
  <si>
    <t>CCOA-VARGAS--MARITZA</t>
  </si>
  <si>
    <t>CC-YUTTO-S-N---ANDAHUAYLILLAS</t>
  </si>
  <si>
    <t>QUISPE-NOA--JOSE</t>
  </si>
  <si>
    <t>VARGAS-QUISPE-BERNABE</t>
  </si>
  <si>
    <t>HU030079</t>
  </si>
  <si>
    <t>VARGAS-ZU-IGA-SANTIAGO</t>
  </si>
  <si>
    <t>COM--CAMP--YUTTO</t>
  </si>
  <si>
    <t>JIMENEZ-QUISPE-LORENZA</t>
  </si>
  <si>
    <t>TTIOMAYO-S-N</t>
  </si>
  <si>
    <t>JIMENEZ-CHAVEZ--JOAQUIN</t>
  </si>
  <si>
    <t>C-C-TTIOMAYO-S-N----ANDAHUAYLI</t>
  </si>
  <si>
    <t>HUAMAN-CHECCA-JUAN</t>
  </si>
  <si>
    <t>VARGAS-FLORES-FELIPE</t>
  </si>
  <si>
    <t>YUTTO-S-N-</t>
  </si>
  <si>
    <t>CHECCA-QUISPE--JULIO</t>
  </si>
  <si>
    <t>RONDOCAN</t>
  </si>
  <si>
    <t>HU030324</t>
  </si>
  <si>
    <t>GUTIERREZ-ROQUE--AGUSTIN</t>
  </si>
  <si>
    <t>CC--CCOCHACOYLLOR---RONDOCAN</t>
  </si>
  <si>
    <t>HU030162</t>
  </si>
  <si>
    <t>HUAMAN-APAZA--SEBASTIANA</t>
  </si>
  <si>
    <t>COM-MANCCO-ANDAHUAYLILLAS</t>
  </si>
  <si>
    <t>HU010270</t>
  </si>
  <si>
    <t>TARACAYA-QUISPE--LUIS</t>
  </si>
  <si>
    <t>C-C--OCCORAN---URCOS</t>
  </si>
  <si>
    <t>QUISPE-APAZA--JUANA</t>
  </si>
  <si>
    <t>QUIQUIJANA</t>
  </si>
  <si>
    <t>HUAMAN-OVIEDO--ESTEBAN</t>
  </si>
  <si>
    <t>ARIZAPANA-CORRALES--HILARIO</t>
  </si>
  <si>
    <t>QUISPE-CCOA--GREGORIO</t>
  </si>
  <si>
    <t>TARACAYA-CCA-IHUA--SATURNINO</t>
  </si>
  <si>
    <t>TARACAYA-QUISPE--CIRILO</t>
  </si>
  <si>
    <t>HU030356</t>
  </si>
  <si>
    <t>BACA-RAMOS-VICTOR-ALEJANDRO</t>
  </si>
  <si>
    <t>QUEROHUASI</t>
  </si>
  <si>
    <t>CCACCASTO-PACHACUTEC--TIMOTEO</t>
  </si>
  <si>
    <t>APV--QQUEROHUASI-S-N----ANDAHU</t>
  </si>
  <si>
    <t>HUARO</t>
  </si>
  <si>
    <t>HU010284</t>
  </si>
  <si>
    <t>HUAMAN-VALLE--DEYVIS</t>
  </si>
  <si>
    <t>SECTOR-JATUNPAMPA---SULLUMAYO</t>
  </si>
  <si>
    <t>SONCCO-ZARATE--JULIAN</t>
  </si>
  <si>
    <t>I-E---N-50512---JATUMPAMPA</t>
  </si>
  <si>
    <t>SECTOR-JATUNPAMPA---SULLUMAYO-</t>
  </si>
  <si>
    <t>HU010286</t>
  </si>
  <si>
    <t>ZARATE-QUISPE--GENARO</t>
  </si>
  <si>
    <t>SECTOR-TOTORA---SULLUMAYO</t>
  </si>
  <si>
    <t>RUIZ-CHAI-A--JULIANA</t>
  </si>
  <si>
    <t>HU010285</t>
  </si>
  <si>
    <t>HUAMAN-MAYO--MARCELINO</t>
  </si>
  <si>
    <t>SECTOR-U-ACORI---SULLUMAYO</t>
  </si>
  <si>
    <t>HU010287</t>
  </si>
  <si>
    <t>CHAI-A-HUAMAN--LEONIDAS</t>
  </si>
  <si>
    <t>SECTOR-LLANQUE---SULLUMAYO</t>
  </si>
  <si>
    <t>HU010288</t>
  </si>
  <si>
    <t>FLOREZ-CONDORI--DEMETRIO</t>
  </si>
  <si>
    <t>SECTOR-CEBADAPATA---SULLUMAYO</t>
  </si>
  <si>
    <t>HU010283</t>
  </si>
  <si>
    <t>CCASA-ROSADA--VICENTE</t>
  </si>
  <si>
    <t>SECTOR-CCANCAHUA---SULLUMAYO</t>
  </si>
  <si>
    <t>DE-PICIGRANJA--CCANCAHUA</t>
  </si>
  <si>
    <t>HU010280</t>
  </si>
  <si>
    <t>ALMIRON-QUISPE--DIONICIO</t>
  </si>
  <si>
    <t>SECTOR-MUJUNCANCHA---SULLUMAYO</t>
  </si>
  <si>
    <t>CCANIHUA-MENDOZA--GREGORIO</t>
  </si>
  <si>
    <t>ALMIRON-QUISPE--DOMITILA</t>
  </si>
  <si>
    <t>HU010281</t>
  </si>
  <si>
    <t>CHECCA-CONDORI--TEODORO</t>
  </si>
  <si>
    <t>SECTOR-SULLUMAYO-CHICO---SULLU</t>
  </si>
  <si>
    <t>CHALLCO-MAMANI--NATIVIDAD</t>
  </si>
  <si>
    <t>HU040163</t>
  </si>
  <si>
    <t>QUISPE-MAMANI--JORGE</t>
  </si>
  <si>
    <t>CHURUBAMBA-ANDAHUAYLILLAS</t>
  </si>
  <si>
    <t>AYME-TURPO--EDUARDO</t>
  </si>
  <si>
    <t>HU020015</t>
  </si>
  <si>
    <t>CHISI-LLAQUICHAN--ANICETO</t>
  </si>
  <si>
    <t>DESVIO-HUARO-A-URPAY</t>
  </si>
  <si>
    <t>CORIMANYA-HUAMAN-MATEO</t>
  </si>
  <si>
    <t>AV--HUASCAR-S-N</t>
  </si>
  <si>
    <t>CHAMPI-SANCHEZ--FELICIA</t>
  </si>
  <si>
    <t>CALLE-HUASCAR-S-N</t>
  </si>
  <si>
    <t>UGEL</t>
  </si>
  <si>
    <t>PLAZA-DE-ARMAS-S-N----HUARO</t>
  </si>
  <si>
    <t>HU020217</t>
  </si>
  <si>
    <t>AUCAPURI-A-ROSARIO</t>
  </si>
  <si>
    <t>CALLE-BOLIVAR-708</t>
  </si>
  <si>
    <t>ITURRIAGA-MOSCOSO--MARIA-GLADY</t>
  </si>
  <si>
    <t>CALLE-2-DE-MAYO-S-N</t>
  </si>
  <si>
    <t>HUISA-Q--MARIANO</t>
  </si>
  <si>
    <t>MIGUEL--GRAU-S-N</t>
  </si>
  <si>
    <t>CHAI-A-AUCCAPURE--EDGAR</t>
  </si>
  <si>
    <t>JR---MIGEL-GRAU---HUARO</t>
  </si>
  <si>
    <t>BERNAOLA-FUENTES--YESSICA</t>
  </si>
  <si>
    <t>CALLE-BARRIONUEVO-S-N---HUARO</t>
  </si>
  <si>
    <t>ARIAS--JULIO</t>
  </si>
  <si>
    <t>JR--BOLOGNESI-S-N</t>
  </si>
  <si>
    <t>HUMPIRE-VERA--JUAN</t>
  </si>
  <si>
    <t>JR-TORIBIO-OLIART-715-</t>
  </si>
  <si>
    <t>ALLER-MAMANI--CESAR</t>
  </si>
  <si>
    <t>APV--CIEL-PUNCO-LT-B---5---HUA</t>
  </si>
  <si>
    <t>FERNANDEZ-HUAMAN--TANIA</t>
  </si>
  <si>
    <t>ASOC--PROV-CIELO-PUNCO-D-3--HU</t>
  </si>
  <si>
    <t>OR030251</t>
  </si>
  <si>
    <t>HUAMAN-CCORIMAIYA--CRISOSTOMO</t>
  </si>
  <si>
    <t>APV--CIELO-PUNCO-S-N</t>
  </si>
  <si>
    <t>HU010088</t>
  </si>
  <si>
    <t>YUPANQUI-HUAMAN--FRANCISCA</t>
  </si>
  <si>
    <t>ASOC--BELLAVISTA-C-2---HUARO</t>
  </si>
  <si>
    <t>LABRA-MARQUEZ--IRMA</t>
  </si>
  <si>
    <t>ASOC-BELLAVISTA--LT-3-MZ--C---</t>
  </si>
  <si>
    <t>BERNA-APAZA--MARUJA</t>
  </si>
  <si>
    <t>ASOC--BELLAVISTA-S-N</t>
  </si>
  <si>
    <t>URQUIZO-MENDIVIL--LUIS-ALBERTO</t>
  </si>
  <si>
    <t>ASOC-BELLAVISTA-HUARO</t>
  </si>
  <si>
    <t>ALVAREZ-CHAI-A--EDWIN</t>
  </si>
  <si>
    <t>APV--VIRGEN-PURIFICA-DE-CANINC</t>
  </si>
  <si>
    <t>PARI-SOTO--VILMA</t>
  </si>
  <si>
    <t>APV-VIRGEN-PURIFICADA-DE-CANIN</t>
  </si>
  <si>
    <t>YUCA-QUISPE-MARCELINA</t>
  </si>
  <si>
    <t>ADV-VIRGEN-PURIFICADA</t>
  </si>
  <si>
    <t>CHULLUNQUIA-CCORIMANYA--ISIDOR</t>
  </si>
  <si>
    <t>ASOC--VIRGEN-PURIFICADA-CANINC</t>
  </si>
  <si>
    <t>ALMIDON-CHECCA--GREGORIA</t>
  </si>
  <si>
    <t>APV--VIRGEN-PURIFICADA-S-N---H</t>
  </si>
  <si>
    <t>CCORIMANYA-USCCACHI--NELLY</t>
  </si>
  <si>
    <t>APV--VIRGEN-PURIFICADA-DE-CANI</t>
  </si>
  <si>
    <t>LLOCLLE-HIHUALLANCCA--OLGA</t>
  </si>
  <si>
    <t>SECTOR-HUASAPAMPA---HUARO</t>
  </si>
  <si>
    <t>CCORIMANYA-LUPACA--TEODORO</t>
  </si>
  <si>
    <t>CHUCCHIPATA---HUARO</t>
  </si>
  <si>
    <t>HU030016</t>
  </si>
  <si>
    <t>VILLARUEL-USCCACHI-DORIS</t>
  </si>
  <si>
    <t>URPAY-S-N</t>
  </si>
  <si>
    <t>HU030017</t>
  </si>
  <si>
    <t>INDUSTRIAS-TEXTILES-M-C-S-A-C</t>
  </si>
  <si>
    <t>CARRETERA-URPAY-S-N---URPAY-</t>
  </si>
  <si>
    <t>HU030090</t>
  </si>
  <si>
    <t>VIENA-CCORIMANYA--GUIDO-NELSON</t>
  </si>
  <si>
    <t>PUCUTO-S-N-</t>
  </si>
  <si>
    <t>CONDORI-QUISPE--MARLENY</t>
  </si>
  <si>
    <t>APV--WIRACOCHAN---PUCUTO</t>
  </si>
  <si>
    <t>HU030409</t>
  </si>
  <si>
    <t>JUNIOR-GAS-E-I-R-LTDA-</t>
  </si>
  <si>
    <t>FUNDO-ESPERANZA---GRIFO</t>
  </si>
  <si>
    <t>HU030118</t>
  </si>
  <si>
    <t>CHURA-CHURA--MERCEDES</t>
  </si>
  <si>
    <t>COMUNIDADA-CHANCA-S-N</t>
  </si>
  <si>
    <t>HU030278</t>
  </si>
  <si>
    <t>TTITO-CONDE--DOLORES</t>
  </si>
  <si>
    <t>COMUNIDAD-PALPACALLA---HUARO</t>
  </si>
  <si>
    <t>HU030279</t>
  </si>
  <si>
    <t>APAZA-HUAMAN--TEODORA</t>
  </si>
  <si>
    <t>COMUNIDAD-PHINAY---HUARO</t>
  </si>
  <si>
    <t>CCORAHUA-HUANCA--NICOLAS</t>
  </si>
  <si>
    <t>THUPA-YUCA--JOSE</t>
  </si>
  <si>
    <t>HUAMAN-VELAZQUE--CIRIACO-JUAN</t>
  </si>
  <si>
    <t>HU030274</t>
  </si>
  <si>
    <t>CHALLCO-RAMOS--JESUS</t>
  </si>
  <si>
    <t>SECTOR-LLAQTABAMBA---ARAHUARA</t>
  </si>
  <si>
    <t>HU030091</t>
  </si>
  <si>
    <t>CHICHE-OVIEDO-VICTOR</t>
  </si>
  <si>
    <t>WIRACOCHAN</t>
  </si>
  <si>
    <t>CHOQUE-C-LUCIO</t>
  </si>
  <si>
    <t>HU030167</t>
  </si>
  <si>
    <t>CCACYAMARCA-CHALLCO--BERNARDO</t>
  </si>
  <si>
    <t>COM--CCACHABAMBA-ANDAHUAYLILLA</t>
  </si>
  <si>
    <t>OR010022</t>
  </si>
  <si>
    <t>GOMEZ-DIAZ--LUCIO</t>
  </si>
  <si>
    <t>HUASCAR--OROPESA</t>
  </si>
  <si>
    <t>DIAZ-MARTINEZ--JUAN-DE-LA-CRUZ</t>
  </si>
  <si>
    <t>CALLE-PERU-S-N--OROPESA</t>
  </si>
  <si>
    <t>MERCADO-SEGUNDO-MARIANO</t>
  </si>
  <si>
    <t>PUNO---S-N</t>
  </si>
  <si>
    <t>HERRERA-SANTOS-VDA-DE-SANTA-CR</t>
  </si>
  <si>
    <t>CALLE-PUNO-S-N</t>
  </si>
  <si>
    <t>VARGAS-ASTETE--FRANCISCO-EMILI</t>
  </si>
  <si>
    <t>AV--PRIMAVERA-S-N</t>
  </si>
  <si>
    <t>JURADO-GARCIA-CRISTOBAL</t>
  </si>
  <si>
    <t>CALLE-COLON-NRO--17</t>
  </si>
  <si>
    <t>CASTRO-MORA--SONIA</t>
  </si>
  <si>
    <t>JR--COLON-S-N-</t>
  </si>
  <si>
    <t>SOTO-HUAYCHO--WASHINGTON</t>
  </si>
  <si>
    <t>ASOC-PRO-VIVIENDA-CANTERAYOC-S</t>
  </si>
  <si>
    <t>HUAMAN--AGUSTIN</t>
  </si>
  <si>
    <t>CALLE-COLON-S-N</t>
  </si>
  <si>
    <t>LICONA-TARCO-ANTONIO</t>
  </si>
  <si>
    <t>MARIANO-SANTOS-S-N</t>
  </si>
  <si>
    <t>GARCIA-DAVALOS-ANGEL</t>
  </si>
  <si>
    <t>ATAHUALLPA-101-OROPESA</t>
  </si>
  <si>
    <t>CHOQUE-TTITO--ROLANDO</t>
  </si>
  <si>
    <t>CALLE-ATAHUALLPA-S-N</t>
  </si>
  <si>
    <t>GOMEZ-GARCIA--AUGUSTO</t>
  </si>
  <si>
    <t>CALLE-ATAHUALLPA-S-N---OROPESA</t>
  </si>
  <si>
    <t>QUISPE-VARGAS--HONORATO</t>
  </si>
  <si>
    <t>CALLE-PIZARRO</t>
  </si>
  <si>
    <t>YA-EZ-SANTOS--JUAN-CARLOS</t>
  </si>
  <si>
    <t>CALLE-SAN-SALVADOR-S-N---OROPE</t>
  </si>
  <si>
    <t>VALDIVIA-MIRANDA--EN</t>
  </si>
  <si>
    <t>CALVARIO-S-N</t>
  </si>
  <si>
    <t>YANEZ-S--PAULINO</t>
  </si>
  <si>
    <t>BARRIOS-ANCALLE--BERNABE</t>
  </si>
  <si>
    <t>OR010021</t>
  </si>
  <si>
    <t>QUISPE-SINCHON--GREGORIO</t>
  </si>
  <si>
    <t>PLAZOLETA-VIRGEN-ESTRELLA</t>
  </si>
  <si>
    <t>ROJAS-KJURO--LEONARDA</t>
  </si>
  <si>
    <t>CALLE-ESTRELLA-OROPESA</t>
  </si>
  <si>
    <t>HERRERA-VARGAS-EMILIANO</t>
  </si>
  <si>
    <t>ESTRELLA-S-N</t>
  </si>
  <si>
    <t>QUISPE-CARRASCO--EZEQUIEL</t>
  </si>
  <si>
    <t>ASTETE-SAMANEZ--EDWIN</t>
  </si>
  <si>
    <t>JURADO-HUARSAYA--PIO-ALFREDO</t>
  </si>
  <si>
    <t>CALLE-GARCILASO-S-N--OROPESA</t>
  </si>
  <si>
    <t>ROMERO-CONDORI--FELIPE</t>
  </si>
  <si>
    <t>CALLE-VICTOR-R-HAYA-DE-LA-TORR</t>
  </si>
  <si>
    <t>SANTOS-DIAZ--URIEL</t>
  </si>
  <si>
    <t>SEC--MIRADOR-S-N---OROPESA-</t>
  </si>
  <si>
    <t>ALVAREZ--EZEQUIEL</t>
  </si>
  <si>
    <t>SALAVERRY-S-N</t>
  </si>
  <si>
    <t>CARRE-O-PERALTA--BUNTTY-BRUCE</t>
  </si>
  <si>
    <t>CALLE--CASTILLA-NRO-419--OROPE</t>
  </si>
  <si>
    <t>ORTEGA-OJEDA-LUCIO</t>
  </si>
  <si>
    <t>ESQ-AMADOR-ASTETE-Y-R-CAS</t>
  </si>
  <si>
    <t>ANAYA--LADISLAO</t>
  </si>
  <si>
    <t>CASTILLA-S-N</t>
  </si>
  <si>
    <t>DIAZ-ASTETE--SIMON</t>
  </si>
  <si>
    <t>CALLE--CASTILLA-S-N---OROPESA</t>
  </si>
  <si>
    <t>BACA--FELIPA</t>
  </si>
  <si>
    <t>OR020135</t>
  </si>
  <si>
    <t>DIAZ-GARCIA--JULIA</t>
  </si>
  <si>
    <t>ERMITA-S-N</t>
  </si>
  <si>
    <t>OJEDA-HERRERA-BENITO</t>
  </si>
  <si>
    <t>PISTA-PRINCIPAL-S-N</t>
  </si>
  <si>
    <t>HU040201</t>
  </si>
  <si>
    <t>GOMEZ-VARGAS--WILBER</t>
  </si>
  <si>
    <t>URB--JOSE-CARLOS-MAREATIGUI-S-</t>
  </si>
  <si>
    <t>DAVALOS-OJEDA--YANET</t>
  </si>
  <si>
    <t>VIRGEN-ASUNTA-S-N-CHINPAPAMPA-</t>
  </si>
  <si>
    <t>GARCIA-DAVALOS--TEOFILO</t>
  </si>
  <si>
    <t>AV-PRIMAVERA-S-N---OROPESA</t>
  </si>
  <si>
    <t>TOMASA-GARCIA-ESQUIVEL</t>
  </si>
  <si>
    <t>APV-JUAN-VELASCO-A--L-11</t>
  </si>
  <si>
    <t>CASTELLANOS-FLOR</t>
  </si>
  <si>
    <t>APV--JOSE-C--MARIATEGUI</t>
  </si>
  <si>
    <t>CUADROS-ESCALANTE--RAUL-CLAUDI</t>
  </si>
  <si>
    <t>A-P-V-JOSE-CARLOS-MARIATEGUI-L</t>
  </si>
  <si>
    <t>CASTELLANOS-DIAZ--YONI-ALVINA</t>
  </si>
  <si>
    <t>YUCA-CABALLERO--GEORGINA</t>
  </si>
  <si>
    <t>APV--JOSE-CARLOS-MARIATEGUI-S-</t>
  </si>
  <si>
    <t>OR020345</t>
  </si>
  <si>
    <t>ARTEAGA-TUPA--JUANA</t>
  </si>
  <si>
    <t>APV-JOSE-CARLOS-MARIATEGUI--L-</t>
  </si>
  <si>
    <t>CHICATA-VILCA--ROMULO</t>
  </si>
  <si>
    <t>APV--JOSE-CARLOS-MARIATEGUI-R-</t>
  </si>
  <si>
    <t>SANCHEZ-HUALLPA--DIONICIA</t>
  </si>
  <si>
    <t>KCAJYAPATA---OROPESA</t>
  </si>
  <si>
    <t>OR030130</t>
  </si>
  <si>
    <t>QUISPE-SINCHON--BENITO</t>
  </si>
  <si>
    <t>CHINICARA-BAJA-LT-6---OROPESA</t>
  </si>
  <si>
    <t>LOPEZ-CHIHUANTITO-GERARDINA</t>
  </si>
  <si>
    <t>CHINICARA-CHICO-S-N</t>
  </si>
  <si>
    <t>CALLAPI-A-RAMOS--ELIZABETH</t>
  </si>
  <si>
    <t>APV--LOS-LEONES-A---6---OROPES</t>
  </si>
  <si>
    <t>SANTOS-CONDORI--LUCRECIA</t>
  </si>
  <si>
    <t>APV--LOS-LEONES-MZ--C---3---OR</t>
  </si>
  <si>
    <t>OR020182</t>
  </si>
  <si>
    <t>CARI-HUAMAN--DINA</t>
  </si>
  <si>
    <t>COM-PINAGUA-OROPESA</t>
  </si>
  <si>
    <t>HUAMAN-CHURA--HONORATA</t>
  </si>
  <si>
    <t>OR030132</t>
  </si>
  <si>
    <t>QUISPE-HUAMAN--AQUILINA</t>
  </si>
  <si>
    <t>CAMICANCHA---OROPESA</t>
  </si>
  <si>
    <t>GUTIERREZ-MAMANI--ESTANISLAO-S</t>
  </si>
  <si>
    <t>APV--JOSE-CARLOS-MARIATEGUI-LT</t>
  </si>
  <si>
    <t>VENTURA-VILLANUEVA-SABINO</t>
  </si>
  <si>
    <t>QUISPE-QUISPE--IGNACIO</t>
  </si>
  <si>
    <t>APV--JOSE-CARLOS-MARIATEGUI-N-</t>
  </si>
  <si>
    <t>RIMACHI-HUALLPA--INES</t>
  </si>
  <si>
    <t>PUNA-PUNABAMBA-L-2---OROPESA</t>
  </si>
  <si>
    <t>OR020344</t>
  </si>
  <si>
    <t>ACERO-PUMA--EDGAR</t>
  </si>
  <si>
    <t>SECTOR-PUNABAMBA-L---I-16</t>
  </si>
  <si>
    <t>QUISPE-SUMA--MARCELINO</t>
  </si>
  <si>
    <t>APV--JOSE-CARLOS-MARIATEGUI-H-</t>
  </si>
  <si>
    <t>ASTURIMA-SULLCACCORI--FELICITA</t>
  </si>
  <si>
    <t>A-P-V--JOSE-CARLOS-MAREATEGUI-</t>
  </si>
  <si>
    <t>SOAQUITA-DE-CRUZ--EPIFANIA</t>
  </si>
  <si>
    <t>APV--JOSE-CARLOS-MARIATEGUI-D-</t>
  </si>
  <si>
    <t>OLAYUNCA-GUEVARA--LEANDRO</t>
  </si>
  <si>
    <t>APV--JOSE-CARLOS-MARIATEGUI-A-</t>
  </si>
  <si>
    <t>CRUZ-BACA--OLGER</t>
  </si>
  <si>
    <t>APV--JOSE-CARLOS-MARIATEGUI--M</t>
  </si>
  <si>
    <t>DURAND-QUEVEDO--LUIS-ALBERTO</t>
  </si>
  <si>
    <t>C-C--PUNA-PANABAMBA-JOSE-CARLO</t>
  </si>
  <si>
    <t>CONDORI-HUANCA--HERNAN</t>
  </si>
  <si>
    <t>APV--JOSE-CARLOS-MARIATEGUI-M-</t>
  </si>
  <si>
    <t>OR020411</t>
  </si>
  <si>
    <t>ZU-IGA-JARA--JACK</t>
  </si>
  <si>
    <t>ASOC--JUAN-VELAZCO-ALVARADO-MZ</t>
  </si>
  <si>
    <t>OR030023</t>
  </si>
  <si>
    <t>QUISPE-SALINAS--HERMENEGILDA</t>
  </si>
  <si>
    <t>COMUNI--CAM--CHOQUEPATA--S-N--</t>
  </si>
  <si>
    <t>RODRIGUEZ-TURPO--ELENA</t>
  </si>
  <si>
    <t>SECT--SILLQUIPATA-S-N----CC-CH</t>
  </si>
  <si>
    <t>OR030084</t>
  </si>
  <si>
    <t>BACA-RIOS--LUCAS</t>
  </si>
  <si>
    <t>CHOQUEPATA-S-N</t>
  </si>
  <si>
    <t>QUISPE--SANTUSA</t>
  </si>
  <si>
    <t>OR030412</t>
  </si>
  <si>
    <t>GUTIERREZ-P--CLAUDIO</t>
  </si>
  <si>
    <t>SALON-COMUNAL--CHOQUEPATA</t>
  </si>
  <si>
    <t>C-C--CHOQUEPATA</t>
  </si>
  <si>
    <t>GUTIERREZ-QUISPE-JOSEFA</t>
  </si>
  <si>
    <t>IBARRA-GUTIERREZ--FLORENTINO</t>
  </si>
  <si>
    <t>SECTOR-HUAYNAPATA-S-N---CHOQUE</t>
  </si>
  <si>
    <t>ANAYA-JURADO--TEODORA</t>
  </si>
  <si>
    <t>C-C--CHOQUEPATA-S-N---TIPON---</t>
  </si>
  <si>
    <t>OR030083</t>
  </si>
  <si>
    <t>CHOQUEHUANCA-FERNANDEZ--PABLO</t>
  </si>
  <si>
    <t>MARROQUIN-QUISPE--ROSALIO-MAUR</t>
  </si>
  <si>
    <t>A-P-V--TIPON-M-2</t>
  </si>
  <si>
    <t>AICA-CRUZ-VIDAL</t>
  </si>
  <si>
    <t>APV--TIPON-Q-11</t>
  </si>
  <si>
    <t>CHAHUAYO-BOLIVAR--DOMINGA</t>
  </si>
  <si>
    <t>APV--TIPON-AV-LAS-ROCAS-DE-PAC</t>
  </si>
  <si>
    <t>CHUQUITAPA-ESTRADA--EDSON</t>
  </si>
  <si>
    <t>ASOC-PROVIVIENDA-MZ-K-LT-8---T</t>
  </si>
  <si>
    <t>GARCIA-VENTURA--MARLENY</t>
  </si>
  <si>
    <t>SEC--MA-ARPAMPA-L-I-10-B---CHO</t>
  </si>
  <si>
    <t>QUISIYUPANQUI-MOREANO--FLORENC</t>
  </si>
  <si>
    <t>APV--TIPON</t>
  </si>
  <si>
    <t>OR030347</t>
  </si>
  <si>
    <t>GUTIERREZ-CHAUCA--JULIO</t>
  </si>
  <si>
    <t>APV--TIPON-LT-6--MZ-X--OROPESA</t>
  </si>
  <si>
    <t>ANAYA-BARRETO--BILY</t>
  </si>
  <si>
    <t>APV--TIPON-LT---12-MZ---F---OR</t>
  </si>
  <si>
    <t>OR030112</t>
  </si>
  <si>
    <t>HUALLPA-HUAMAN-ALEJANDRO</t>
  </si>
  <si>
    <t>COMUNIDAD-PATABAMBA</t>
  </si>
  <si>
    <t>QUISPE-CUNYA--JOSE</t>
  </si>
  <si>
    <t>COM-PATABAMBA</t>
  </si>
  <si>
    <t>QUISPE-ROJAS--MARIA</t>
  </si>
  <si>
    <t>ANEXO-PATABAMBA-CC--CHOQQUEPAT</t>
  </si>
  <si>
    <t>CATUNTA-SARAYA--EMILIO</t>
  </si>
  <si>
    <t>PATABAMBA---CHOQUEPATA</t>
  </si>
  <si>
    <t>CONYA-QUISPE--CECILIA</t>
  </si>
  <si>
    <t>GONGORA-AUCCAHUAQUI--TOMAS</t>
  </si>
  <si>
    <t>TAMBOPATA-S-N-CHOQUEPATA---ORO</t>
  </si>
  <si>
    <t>OR030234</t>
  </si>
  <si>
    <t>GONGORA-AUCCAHUAQUI-TOMAS</t>
  </si>
  <si>
    <t>TAMBOPATA---CHOQUEPATA</t>
  </si>
  <si>
    <t>OR030024</t>
  </si>
  <si>
    <t>GARMENDIA-ZAVALETA-SOCORRO</t>
  </si>
  <si>
    <t>POBLADO-MENOR-DE-HUASAO</t>
  </si>
  <si>
    <t>CHAMPI-GUTIERREZ-GREGORIO</t>
  </si>
  <si>
    <t>JUVENTUD-S-N</t>
  </si>
  <si>
    <t>SOLAR-CONDORHUANCA-CELESTINA</t>
  </si>
  <si>
    <t>OR030025</t>
  </si>
  <si>
    <t>FERNANDEZ-ROJAS--LUCIO</t>
  </si>
  <si>
    <t>AV--JUAN-VELASCO---HUASAO</t>
  </si>
  <si>
    <t>CCORIHUAMAN-SANCHEZ--MARGOTH</t>
  </si>
  <si>
    <t>CALLE-CRUZ-PATA-LT-27-C---HUAS</t>
  </si>
  <si>
    <t>HUAMAN--MELCHOR</t>
  </si>
  <si>
    <t>GUTIERREZ-AGUILAR-CECILIO</t>
  </si>
  <si>
    <t>CALLE-LAS-FLORES-S-N---HUASAO</t>
  </si>
  <si>
    <t>OR030387</t>
  </si>
  <si>
    <t>ASTETE-NINANTAY--JUAN-CANCIO</t>
  </si>
  <si>
    <t>AV--JUAN-VELASCO-ALVARADO-S-N-</t>
  </si>
  <si>
    <t>SINCHI-GARCIA--AMBROCIA</t>
  </si>
  <si>
    <t>MZ-C-L-15-APV--NUEVO-HUASAO---</t>
  </si>
  <si>
    <t>TECSI-QUISPE--FABIO</t>
  </si>
  <si>
    <t>L-5-B-APV--NUEVO-HUASAO-A-Y-B-</t>
  </si>
  <si>
    <t>OR030402</t>
  </si>
  <si>
    <t>MOJONERO-VDA-DE-QUISPE--TEODOR</t>
  </si>
  <si>
    <t>CALLE-GRAN-CHIMU-LT-17---HUASA</t>
  </si>
  <si>
    <t>AGUILAR-MOREANO--FELIX-FORTUNA</t>
  </si>
  <si>
    <t>HUASAO</t>
  </si>
  <si>
    <t>SALDIVAR-CRUZ--JUSTO</t>
  </si>
  <si>
    <t>CALLE-28-DE-JULIO-MZ--S1-LOTE-</t>
  </si>
  <si>
    <t>HUAMAN-RONDON--ANTONINO</t>
  </si>
  <si>
    <t>GUTIERREZ-PUMAHUALLCA--WILLIAM</t>
  </si>
  <si>
    <t>TTITO-LAYME--FRANCISCO</t>
  </si>
  <si>
    <t>CALLE-LAS-FLORES-LT-F-5---HUAS</t>
  </si>
  <si>
    <t>OR030388</t>
  </si>
  <si>
    <t>CCORIHUAMAN-VILLANUEVA--CECILI</t>
  </si>
  <si>
    <t>AV-MARISCAL-AGUSTIN-GAMARRA---</t>
  </si>
  <si>
    <t>BACA-QUISPE--ROSARIO</t>
  </si>
  <si>
    <t>CALLE-29-DE-JULIO-S-N---CP--HU</t>
  </si>
  <si>
    <t>OR030403</t>
  </si>
  <si>
    <t>ZARATE-SARAYA--NELY</t>
  </si>
  <si>
    <t>AV--TUPAC-AMARU-S-N---CP--HUAS</t>
  </si>
  <si>
    <t>HUAMAN-CONDORI--CIRILO</t>
  </si>
  <si>
    <t>CALLE-PRINCIPAL</t>
  </si>
  <si>
    <t>MOJONERO-RAMOS-JOSE</t>
  </si>
  <si>
    <t>HUALLPA-SUTTA-TIMOTEA</t>
  </si>
  <si>
    <t>BACA-FERNANDEZ--ANDRES-SATURNI</t>
  </si>
  <si>
    <t>GARCILASO-S-N--HUASAO</t>
  </si>
  <si>
    <t>MOJONERO-PUI-O--JESUS</t>
  </si>
  <si>
    <t>AV---INCA-GARCILASO-S-N--HUASA</t>
  </si>
  <si>
    <t>MENDOZA-MATAMOROS--FELICITAS</t>
  </si>
  <si>
    <t>CALLE-19-DE-JULIO-S-N-MZ-J1-8-</t>
  </si>
  <si>
    <t>LONASCO-HUAMAN--MARIO</t>
  </si>
  <si>
    <t>CALLE-WASHINTON--S-N--HUASAO</t>
  </si>
  <si>
    <t>CRUZ-AROSQUIPA--YHISSELA-INGRA</t>
  </si>
  <si>
    <t>AV-WASHINTON-E-7---HUASAO</t>
  </si>
  <si>
    <t>RONDON--ACCHA--ADRIAN</t>
  </si>
  <si>
    <t>CALLE-WASHINTON---HUASAO</t>
  </si>
  <si>
    <t>GARCIA-LUNA--FRANCISCA</t>
  </si>
  <si>
    <t>AV--MIGUEL-GRAU-S-N---HUASAO</t>
  </si>
  <si>
    <t>PAREDES-RAMOS--RICARDO</t>
  </si>
  <si>
    <t>CHINGO-CHICO-S-N---HUASAO</t>
  </si>
  <si>
    <t>GUZMAN-PACCO--EGIDIA</t>
  </si>
  <si>
    <t>AV--PASEO-LA-REPUBLICA-MZ-E--3</t>
  </si>
  <si>
    <t>MORIANO-QUISPE--MARIA-PRESENTA</t>
  </si>
  <si>
    <t>SAYLLA-CHICO-S-N---HUASAO</t>
  </si>
  <si>
    <t>PROAVE-E-I-R-L-</t>
  </si>
  <si>
    <t>AV--JUAN-VELASCO-ALVARADO-MZ-D</t>
  </si>
  <si>
    <t>USCACHI-VILLCA--LUISA</t>
  </si>
  <si>
    <t>TAYANCANI-S-N--HUASAO</t>
  </si>
  <si>
    <t>CAPARO-MONCADA--NINOSKA</t>
  </si>
  <si>
    <t>ALAMEDA-LAS--MERCEDES-A-8-HUAS</t>
  </si>
  <si>
    <t>ALVAREZ-HAQQUEHUA--RUBEN-DARIO</t>
  </si>
  <si>
    <t>APV--NUEVO-HUASO-LT---10-MZ---</t>
  </si>
  <si>
    <t>CONDORHUANCA-CATUNTA--CELIA</t>
  </si>
  <si>
    <t>AV-PACHATUSAN-MZ--T---6---HUAS</t>
  </si>
  <si>
    <t>QUENAYA-RODRIGUEZ--CLAUDIO</t>
  </si>
  <si>
    <t>SECT-CALLAPUCYO--LT-O-2---HUAS</t>
  </si>
  <si>
    <t>HANCCO-FLORES--HECTOR-DEMETRIO</t>
  </si>
  <si>
    <t>MZ-R-L--14-APV--NUEVO-HUASAO-A</t>
  </si>
  <si>
    <t>OR030097</t>
  </si>
  <si>
    <t>LAURA-GALLEGOS-NICOLAS</t>
  </si>
  <si>
    <t>CHINGO-CHICO-NUEVO-HUASAO</t>
  </si>
  <si>
    <t>LAURA-GALLEGOS--NICOLAS</t>
  </si>
  <si>
    <t>CHINGO-CHICO--NUEVO-HUASAO</t>
  </si>
  <si>
    <t>TAIRO-PHOCO--LUZ-MARINA</t>
  </si>
  <si>
    <t>APV--NUEVO-HUASAO-A-Y-B-MZ-C-L</t>
  </si>
  <si>
    <t>OR030385</t>
  </si>
  <si>
    <t>MZ-C-L-5-CHINGO-CHICO---OROPES</t>
  </si>
  <si>
    <t>BACA-PATI-O--ENRIQUE</t>
  </si>
  <si>
    <t>SEC--CHINGO-CHICO-LT--H---1---</t>
  </si>
  <si>
    <t>OR030137</t>
  </si>
  <si>
    <t>ROMERO-RAMOS-MARIA-ANTONIETA</t>
  </si>
  <si>
    <t>APV--SOL-NACIENTE</t>
  </si>
  <si>
    <t>CCALLA-AHUATI--FRANCISCO</t>
  </si>
  <si>
    <t>APV--REAL-NACIENTE-MZ-B-LT-1--</t>
  </si>
  <si>
    <t>ASOC--REAL-NACIENTE---HUASAO</t>
  </si>
  <si>
    <t>ZEGARRA-AGUIRRE--JOSEFINA</t>
  </si>
  <si>
    <t>APV--REAL-NACIENTE-LT--B-5---H</t>
  </si>
  <si>
    <t>APV--REAL-NACIENTE-LT--E-5---H</t>
  </si>
  <si>
    <t>SANCHEZ-HUAMAN--VALENTINA</t>
  </si>
  <si>
    <t>APV--REAL-NACIENTE---CHURUPUCY</t>
  </si>
  <si>
    <t>OR020028</t>
  </si>
  <si>
    <t>ORTEGA-SULLCA--FLORENCIA</t>
  </si>
  <si>
    <t>CALLE-MEDIO-N--263---LUCRE</t>
  </si>
  <si>
    <t>COMUNIDAD-CAMPESINA-MUYNA--LUC</t>
  </si>
  <si>
    <t>PROL-AMARGURA-S-N</t>
  </si>
  <si>
    <t>LOAYZA-L--DOMINGO</t>
  </si>
  <si>
    <t>PZA-ARMAS-S-N</t>
  </si>
  <si>
    <t>CONZAMOLLO-PAUCCARA--LEOCADIA</t>
  </si>
  <si>
    <t>CALLE--BOLIVAR-S-N---LUCRE</t>
  </si>
  <si>
    <t>GARCIA-LLANJA--LEON</t>
  </si>
  <si>
    <t>LIMA-S-N</t>
  </si>
  <si>
    <t>OR020029</t>
  </si>
  <si>
    <t>GALLEGOS-DE-GONZALES--BENEDICT</t>
  </si>
  <si>
    <t>PUERTA-DE-LA-ALAMEDA</t>
  </si>
  <si>
    <t>QUISPE-SULLCA--FORTUNATO</t>
  </si>
  <si>
    <t>CALLE-LIMA-S-N</t>
  </si>
  <si>
    <t>ORTEGA-FERNANDEZ-ANTONIO</t>
  </si>
  <si>
    <t>CHACHACOMA-S-N</t>
  </si>
  <si>
    <t>QUISPE-T--FORTUNATO</t>
  </si>
  <si>
    <t>CACERES-SUMALAVE--NESTOR-GUALB</t>
  </si>
  <si>
    <t>CALLE-SAN-MARTIN-100-LUCR</t>
  </si>
  <si>
    <t>CCORI-FARFAN-ERNESTINA</t>
  </si>
  <si>
    <t>CONDORI-VALLENAS--FORTUNATO</t>
  </si>
  <si>
    <t>CALLE-RINCONADA-S-N---LUCRE</t>
  </si>
  <si>
    <t>ALVAREZ-LLANCCA--FEL</t>
  </si>
  <si>
    <t>LABRANZA-S-N</t>
  </si>
  <si>
    <t>OR020030</t>
  </si>
  <si>
    <t>CLEMENTE-CONDORI--MARITZA</t>
  </si>
  <si>
    <t>YANAMANCHI---LUCRE</t>
  </si>
  <si>
    <t>OR020374</t>
  </si>
  <si>
    <t>LOAYZA-MOSCOSO--JOSE-LUIS</t>
  </si>
  <si>
    <t>BAJO-TENDAL-S-N---LUCRE</t>
  </si>
  <si>
    <t>PEREZ-CARRASCO--LUCIO</t>
  </si>
  <si>
    <t>SEC--LABRANSA-BAJO-TEDAL---LUC</t>
  </si>
  <si>
    <t>OR020031</t>
  </si>
  <si>
    <t>MENDOZA-FARFAN--VALERIO</t>
  </si>
  <si>
    <t>PISTA-PRINCIPAL-DE-HUACARPAY</t>
  </si>
  <si>
    <t>JALIRE-CONDORI--PAULA</t>
  </si>
  <si>
    <t>PISTA-PRINCIPAL---HUACARPAY</t>
  </si>
  <si>
    <t>OR020139</t>
  </si>
  <si>
    <t>LOPEZ-QUISPE--GUADALUPE</t>
  </si>
  <si>
    <t>TONGOBAMBA-LT--C-5---HUACARPAY</t>
  </si>
  <si>
    <t>OR020377</t>
  </si>
  <si>
    <t>CABRERA-QUISPE--REMIGIO</t>
  </si>
  <si>
    <t>ANEXO-HUAYLLARPAMPA-S-N---LUCR</t>
  </si>
  <si>
    <t>CHURA-QUISPE--AUGUSTO-BONIFACI</t>
  </si>
  <si>
    <t>HUAYLLARPAMPA-S-N---LUCRE</t>
  </si>
  <si>
    <t>QUISPE-TUCYA--GREGORIO</t>
  </si>
  <si>
    <t>HUAYLLARPAMPA-A-8</t>
  </si>
  <si>
    <t>OR020085</t>
  </si>
  <si>
    <t>RAMOS-MAMANI-JULIO</t>
  </si>
  <si>
    <t>HUAYLLARPAMPA-S-N</t>
  </si>
  <si>
    <t>RAMOS-MAMANI--JULIO</t>
  </si>
  <si>
    <t>CALLE-FERROCARRIL-S-N----HUAYL</t>
  </si>
  <si>
    <t>QQUENAYA-QUISPE--JAVIER</t>
  </si>
  <si>
    <t>ANEXO-HUAYLLARPAMPA---LUCRE</t>
  </si>
  <si>
    <t>PUMA-JALLO--ERNESTINA</t>
  </si>
  <si>
    <t>ANEXO-HUAYLLARPAMPA</t>
  </si>
  <si>
    <t>PUMA-TINTAYA--JACINTO</t>
  </si>
  <si>
    <t>ANEXO-HUAYLLARPAMPA-C-C--HUAMB</t>
  </si>
  <si>
    <t>CHOQQUE-MAMANI--ISIDRO</t>
  </si>
  <si>
    <t>HUAYLLARPAMPA---LUCRE</t>
  </si>
  <si>
    <t>TAPARA-CHIHUANTITO--FELIX</t>
  </si>
  <si>
    <t>ALATA-CHECCA--CATALINA</t>
  </si>
  <si>
    <t>UTURUNCO-YUCRA--TIMOTEA</t>
  </si>
  <si>
    <t>QUISPE-QQUECCA-O--TIMOTEA</t>
  </si>
  <si>
    <t>HUYALLARPAMPA---LUCRE</t>
  </si>
  <si>
    <t>PERALTA-QUISPE--MARLENE-CLEOFE</t>
  </si>
  <si>
    <t>PI030905</t>
  </si>
  <si>
    <t>QUISPE-HUAMANI--ELIZABETH--MAR</t>
  </si>
  <si>
    <t>HUAMBUTIO-LUCRE</t>
  </si>
  <si>
    <t>VALENCIA-USCACHI--FERNANDO-HAL</t>
  </si>
  <si>
    <t>CP--HUAMBUTIO---CALLE-MICAELA-</t>
  </si>
  <si>
    <t>PAREDES-GARRIDO--LUIS-HONORIO</t>
  </si>
  <si>
    <t>CALLE-VIRGEN-DEL-CARMEN-MZ-LT-</t>
  </si>
  <si>
    <t>OR020032</t>
  </si>
  <si>
    <t>HUAMBUTIO</t>
  </si>
  <si>
    <t>PINEDA-DUE-AS--JOSE-FRANCISCO</t>
  </si>
  <si>
    <t>SAN-JORGIYOC-S-N---HUAMBUTIO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</si>
</sst>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48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43180</v>
      </c>
      <c r="C2" t="s">
        <v>18</v>
      </c>
      <c r="D2" t="str">
        <f>CONCATENATE("0060020526","")</f>
        <v>0060020526</v>
      </c>
      <c r="E2" t="str">
        <f>CONCATENATE("0010801000430       ","")</f>
        <v>0010801000430       </v>
      </c>
      <c r="F2" t="str">
        <f>CONCATENATE("607430756","")</f>
        <v>607430756</v>
      </c>
      <c r="G2" t="s">
        <v>19</v>
      </c>
      <c r="H2" t="s">
        <v>20</v>
      </c>
      <c r="I2" t="s">
        <v>21</v>
      </c>
      <c r="J2" t="str">
        <f aca="true" t="shared" si="0" ref="J2:J21">CONCATENATE("080107","")</f>
        <v>080107</v>
      </c>
      <c r="K2" t="s">
        <v>22</v>
      </c>
      <c r="L2" t="s">
        <v>23</v>
      </c>
      <c r="M2" t="str">
        <f>CONCATENATE("3","")</f>
        <v>3</v>
      </c>
      <c r="O2" t="str">
        <f aca="true" t="shared" si="1" ref="O2:O65">CONCATENATE("1 ","")</f>
        <v>1 </v>
      </c>
      <c r="P2">
        <v>23.5</v>
      </c>
      <c r="Q2" t="s">
        <v>24</v>
      </c>
    </row>
    <row r="3" spans="1:17" ht="15">
      <c r="A3" t="s">
        <v>17</v>
      </c>
      <c r="B3" s="1">
        <v>43180</v>
      </c>
      <c r="C3" t="s">
        <v>18</v>
      </c>
      <c r="D3" t="str">
        <f>CONCATENATE("0060025550","")</f>
        <v>0060025550</v>
      </c>
      <c r="E3" t="str">
        <f>CONCATENATE("0010801000587       ","")</f>
        <v>0010801000587       </v>
      </c>
      <c r="F3" t="str">
        <f>CONCATENATE("607656134","")</f>
        <v>607656134</v>
      </c>
      <c r="G3" t="s">
        <v>19</v>
      </c>
      <c r="H3" t="s">
        <v>25</v>
      </c>
      <c r="I3" t="s">
        <v>26</v>
      </c>
      <c r="J3" t="str">
        <f t="shared" si="0"/>
        <v>080107</v>
      </c>
      <c r="K3" t="s">
        <v>22</v>
      </c>
      <c r="L3" t="s">
        <v>23</v>
      </c>
      <c r="M3" t="str">
        <f aca="true" t="shared" si="2" ref="M3:M21">CONCATENATE("1","")</f>
        <v>1</v>
      </c>
      <c r="N3" t="str">
        <f>CONCATENATE("984048490","")</f>
        <v>984048490</v>
      </c>
      <c r="O3" t="str">
        <f t="shared" si="1"/>
        <v>1 </v>
      </c>
      <c r="P3">
        <v>77.85</v>
      </c>
      <c r="Q3" t="s">
        <v>27</v>
      </c>
    </row>
    <row r="4" spans="1:17" ht="15">
      <c r="A4" t="s">
        <v>17</v>
      </c>
      <c r="B4" s="1">
        <v>43180</v>
      </c>
      <c r="C4" t="s">
        <v>18</v>
      </c>
      <c r="D4" t="str">
        <f>CONCATENATE("0060011996","")</f>
        <v>0060011996</v>
      </c>
      <c r="E4" t="str">
        <f>CONCATENATE("0010801000765       ","")</f>
        <v>0010801000765       </v>
      </c>
      <c r="F4" t="str">
        <f>CONCATENATE("605120877","")</f>
        <v>605120877</v>
      </c>
      <c r="G4" t="s">
        <v>19</v>
      </c>
      <c r="H4" t="s">
        <v>28</v>
      </c>
      <c r="I4" t="s">
        <v>29</v>
      </c>
      <c r="J4" t="str">
        <f t="shared" si="0"/>
        <v>080107</v>
      </c>
      <c r="K4" t="s">
        <v>22</v>
      </c>
      <c r="L4" t="s">
        <v>23</v>
      </c>
      <c r="M4" t="str">
        <f t="shared" si="2"/>
        <v>1</v>
      </c>
      <c r="O4" t="str">
        <f t="shared" si="1"/>
        <v>1 </v>
      </c>
      <c r="P4">
        <v>1726.05</v>
      </c>
      <c r="Q4" t="s">
        <v>27</v>
      </c>
    </row>
    <row r="5" spans="1:17" ht="15">
      <c r="A5" t="s">
        <v>17</v>
      </c>
      <c r="B5" s="1">
        <v>43180</v>
      </c>
      <c r="C5" t="s">
        <v>18</v>
      </c>
      <c r="D5" t="str">
        <f>CONCATENATE("0060000057","")</f>
        <v>0060000057</v>
      </c>
      <c r="E5" t="str">
        <f>CONCATENATE("0010801000860       ","")</f>
        <v>0010801000860       </v>
      </c>
      <c r="F5" t="str">
        <f>CONCATENATE("605282758","")</f>
        <v>605282758</v>
      </c>
      <c r="G5" t="s">
        <v>19</v>
      </c>
      <c r="H5" t="s">
        <v>30</v>
      </c>
      <c r="I5" t="s">
        <v>31</v>
      </c>
      <c r="J5" t="str">
        <f t="shared" si="0"/>
        <v>080107</v>
      </c>
      <c r="K5" t="s">
        <v>22</v>
      </c>
      <c r="L5" t="s">
        <v>23</v>
      </c>
      <c r="M5" t="str">
        <f t="shared" si="2"/>
        <v>1</v>
      </c>
      <c r="O5" t="str">
        <f t="shared" si="1"/>
        <v>1 </v>
      </c>
      <c r="P5">
        <v>161.7</v>
      </c>
      <c r="Q5" t="s">
        <v>27</v>
      </c>
    </row>
    <row r="6" spans="1:17" ht="15">
      <c r="A6" t="s">
        <v>17</v>
      </c>
      <c r="B6" s="1">
        <v>43180</v>
      </c>
      <c r="C6" t="s">
        <v>18</v>
      </c>
      <c r="D6" t="str">
        <f>CONCATENATE("0060015621","")</f>
        <v>0060015621</v>
      </c>
      <c r="E6" t="str">
        <f>CONCATENATE("0010801000917       ","")</f>
        <v>0010801000917       </v>
      </c>
      <c r="F6" t="str">
        <f>CONCATENATE("605942104","")</f>
        <v>605942104</v>
      </c>
      <c r="G6" t="s">
        <v>19</v>
      </c>
      <c r="H6" t="s">
        <v>32</v>
      </c>
      <c r="I6" t="s">
        <v>33</v>
      </c>
      <c r="J6" t="str">
        <f t="shared" si="0"/>
        <v>080107</v>
      </c>
      <c r="K6" t="s">
        <v>22</v>
      </c>
      <c r="L6" t="s">
        <v>23</v>
      </c>
      <c r="M6" t="str">
        <f t="shared" si="2"/>
        <v>1</v>
      </c>
      <c r="O6" t="str">
        <f t="shared" si="1"/>
        <v>1 </v>
      </c>
      <c r="P6">
        <v>313.3</v>
      </c>
      <c r="Q6" t="s">
        <v>27</v>
      </c>
    </row>
    <row r="7" spans="1:17" ht="15">
      <c r="A7" t="s">
        <v>17</v>
      </c>
      <c r="B7" s="1">
        <v>43180</v>
      </c>
      <c r="C7" t="s">
        <v>18</v>
      </c>
      <c r="D7" t="str">
        <f>CONCATENATE("0060014803","")</f>
        <v>0060014803</v>
      </c>
      <c r="E7" t="str">
        <f>CONCATENATE("0010801000951       ","")</f>
        <v>0010801000951       </v>
      </c>
      <c r="F7" t="str">
        <f>CONCATENATE("605946206","")</f>
        <v>605946206</v>
      </c>
      <c r="G7" t="s">
        <v>19</v>
      </c>
      <c r="H7" t="s">
        <v>34</v>
      </c>
      <c r="I7" t="s">
        <v>35</v>
      </c>
      <c r="J7" t="str">
        <f t="shared" si="0"/>
        <v>080107</v>
      </c>
      <c r="K7" t="s">
        <v>22</v>
      </c>
      <c r="L7" t="s">
        <v>23</v>
      </c>
      <c r="M7" t="str">
        <f t="shared" si="2"/>
        <v>1</v>
      </c>
      <c r="O7" t="str">
        <f t="shared" si="1"/>
        <v>1 </v>
      </c>
      <c r="P7">
        <v>23.4</v>
      </c>
      <c r="Q7" t="s">
        <v>27</v>
      </c>
    </row>
    <row r="8" spans="1:17" ht="15">
      <c r="A8" t="s">
        <v>17</v>
      </c>
      <c r="B8" s="1">
        <v>43180</v>
      </c>
      <c r="C8" t="s">
        <v>18</v>
      </c>
      <c r="D8" t="str">
        <f>CONCATENATE("0060012300","")</f>
        <v>0060012300</v>
      </c>
      <c r="E8" t="str">
        <f>CONCATENATE("0010801000984       ","")</f>
        <v>0010801000984       </v>
      </c>
      <c r="F8" t="str">
        <f>CONCATENATE("605121638","")</f>
        <v>605121638</v>
      </c>
      <c r="G8" t="s">
        <v>19</v>
      </c>
      <c r="H8" t="s">
        <v>36</v>
      </c>
      <c r="I8" t="s">
        <v>37</v>
      </c>
      <c r="J8" t="str">
        <f t="shared" si="0"/>
        <v>080107</v>
      </c>
      <c r="K8" t="s">
        <v>22</v>
      </c>
      <c r="L8" t="s">
        <v>23</v>
      </c>
      <c r="M8" t="str">
        <f t="shared" si="2"/>
        <v>1</v>
      </c>
      <c r="O8" t="str">
        <f t="shared" si="1"/>
        <v>1 </v>
      </c>
      <c r="P8">
        <v>13.35</v>
      </c>
      <c r="Q8" t="s">
        <v>27</v>
      </c>
    </row>
    <row r="9" spans="1:17" ht="15">
      <c r="A9" t="s">
        <v>17</v>
      </c>
      <c r="B9" s="1">
        <v>43180</v>
      </c>
      <c r="C9" t="s">
        <v>18</v>
      </c>
      <c r="D9" t="str">
        <f>CONCATENATE("0060014269","")</f>
        <v>0060014269</v>
      </c>
      <c r="E9" t="str">
        <f>CONCATENATE("0010801001001       ","")</f>
        <v>0010801001001       </v>
      </c>
      <c r="F9" t="str">
        <f>CONCATENATE("605760429","")</f>
        <v>605760429</v>
      </c>
      <c r="G9" t="s">
        <v>19</v>
      </c>
      <c r="H9" t="s">
        <v>38</v>
      </c>
      <c r="I9" t="s">
        <v>39</v>
      </c>
      <c r="J9" t="str">
        <f t="shared" si="0"/>
        <v>080107</v>
      </c>
      <c r="K9" t="s">
        <v>22</v>
      </c>
      <c r="L9" t="s">
        <v>23</v>
      </c>
      <c r="M9" t="str">
        <f t="shared" si="2"/>
        <v>1</v>
      </c>
      <c r="O9" t="str">
        <f t="shared" si="1"/>
        <v>1 </v>
      </c>
      <c r="P9">
        <v>168.85</v>
      </c>
      <c r="Q9" t="s">
        <v>27</v>
      </c>
    </row>
    <row r="10" spans="1:17" ht="15">
      <c r="A10" t="s">
        <v>17</v>
      </c>
      <c r="B10" s="1">
        <v>43180</v>
      </c>
      <c r="C10" t="s">
        <v>18</v>
      </c>
      <c r="D10" t="str">
        <f>CONCATENATE("0060010015","")</f>
        <v>0060010015</v>
      </c>
      <c r="E10" t="str">
        <f>CONCATENATE("0010801001045       ","")</f>
        <v>0010801001045       </v>
      </c>
      <c r="F10" t="str">
        <f>CONCATENATE("606808759","")</f>
        <v>606808759</v>
      </c>
      <c r="G10" t="s">
        <v>40</v>
      </c>
      <c r="H10" t="s">
        <v>41</v>
      </c>
      <c r="I10" t="s">
        <v>42</v>
      </c>
      <c r="J10" t="str">
        <f t="shared" si="0"/>
        <v>080107</v>
      </c>
      <c r="K10" t="s">
        <v>22</v>
      </c>
      <c r="L10" t="s">
        <v>23</v>
      </c>
      <c r="M10" t="str">
        <f t="shared" si="2"/>
        <v>1</v>
      </c>
      <c r="O10" t="str">
        <f t="shared" si="1"/>
        <v>1 </v>
      </c>
      <c r="P10">
        <v>530.15</v>
      </c>
      <c r="Q10" t="s">
        <v>27</v>
      </c>
    </row>
    <row r="11" spans="1:17" ht="15">
      <c r="A11" t="s">
        <v>17</v>
      </c>
      <c r="B11" s="1">
        <v>43180</v>
      </c>
      <c r="C11" t="s">
        <v>18</v>
      </c>
      <c r="D11" t="str">
        <f>CONCATENATE("0060000097","")</f>
        <v>0060000097</v>
      </c>
      <c r="E11" t="str">
        <f>CONCATENATE("0010801001520       ","")</f>
        <v>0010801001520       </v>
      </c>
      <c r="F11" t="str">
        <f>CONCATENATE("605085342","")</f>
        <v>605085342</v>
      </c>
      <c r="G11" t="s">
        <v>19</v>
      </c>
      <c r="H11" t="s">
        <v>43</v>
      </c>
      <c r="I11" t="s">
        <v>44</v>
      </c>
      <c r="J11" t="str">
        <f t="shared" si="0"/>
        <v>080107</v>
      </c>
      <c r="K11" t="s">
        <v>22</v>
      </c>
      <c r="L11" t="s">
        <v>23</v>
      </c>
      <c r="M11" t="str">
        <f t="shared" si="2"/>
        <v>1</v>
      </c>
      <c r="O11" t="str">
        <f t="shared" si="1"/>
        <v>1 </v>
      </c>
      <c r="P11">
        <v>30.1</v>
      </c>
      <c r="Q11" t="s">
        <v>27</v>
      </c>
    </row>
    <row r="12" spans="1:17" ht="15">
      <c r="A12" t="s">
        <v>17</v>
      </c>
      <c r="B12" s="1">
        <v>43180</v>
      </c>
      <c r="C12" t="s">
        <v>18</v>
      </c>
      <c r="D12" t="str">
        <f>CONCATENATE("0060012308","")</f>
        <v>0060012308</v>
      </c>
      <c r="E12" t="str">
        <f>CONCATENATE("0010801001550       ","")</f>
        <v>0010801001550       </v>
      </c>
      <c r="F12" t="str">
        <f>CONCATENATE("605121643","")</f>
        <v>605121643</v>
      </c>
      <c r="G12" t="s">
        <v>19</v>
      </c>
      <c r="H12" t="s">
        <v>45</v>
      </c>
      <c r="I12" t="s">
        <v>46</v>
      </c>
      <c r="J12" t="str">
        <f t="shared" si="0"/>
        <v>080107</v>
      </c>
      <c r="K12" t="s">
        <v>22</v>
      </c>
      <c r="L12" t="s">
        <v>23</v>
      </c>
      <c r="M12" t="str">
        <f t="shared" si="2"/>
        <v>1</v>
      </c>
      <c r="O12" t="str">
        <f t="shared" si="1"/>
        <v>1 </v>
      </c>
      <c r="P12">
        <v>60.9</v>
      </c>
      <c r="Q12" t="s">
        <v>27</v>
      </c>
    </row>
    <row r="13" spans="1:17" ht="15">
      <c r="A13" t="s">
        <v>17</v>
      </c>
      <c r="B13" s="1">
        <v>43180</v>
      </c>
      <c r="C13" t="s">
        <v>18</v>
      </c>
      <c r="D13" t="str">
        <f>CONCATENATE("0060000098","")</f>
        <v>0060000098</v>
      </c>
      <c r="E13" t="str">
        <f>CONCATENATE("0010801001570       ","")</f>
        <v>0010801001570       </v>
      </c>
      <c r="F13" t="str">
        <f>CONCATENATE("1934109","")</f>
        <v>1934109</v>
      </c>
      <c r="G13" t="s">
        <v>19</v>
      </c>
      <c r="H13" t="s">
        <v>47</v>
      </c>
      <c r="I13" t="s">
        <v>48</v>
      </c>
      <c r="J13" t="str">
        <f t="shared" si="0"/>
        <v>080107</v>
      </c>
      <c r="K13" t="s">
        <v>22</v>
      </c>
      <c r="L13" t="s">
        <v>23</v>
      </c>
      <c r="M13" t="str">
        <f t="shared" si="2"/>
        <v>1</v>
      </c>
      <c r="O13" t="str">
        <f t="shared" si="1"/>
        <v>1 </v>
      </c>
      <c r="P13">
        <v>38.6</v>
      </c>
      <c r="Q13" t="s">
        <v>27</v>
      </c>
    </row>
    <row r="14" spans="1:17" ht="15">
      <c r="A14" t="s">
        <v>17</v>
      </c>
      <c r="B14" s="1">
        <v>43180</v>
      </c>
      <c r="C14" t="s">
        <v>18</v>
      </c>
      <c r="D14" t="str">
        <f>CONCATENATE("0060000099","")</f>
        <v>0060000099</v>
      </c>
      <c r="E14" t="str">
        <f>CONCATENATE("0010801001580       ","")</f>
        <v>0010801001580       </v>
      </c>
      <c r="F14" t="str">
        <f>CONCATENATE("605293363","")</f>
        <v>605293363</v>
      </c>
      <c r="G14" t="s">
        <v>19</v>
      </c>
      <c r="H14" t="s">
        <v>49</v>
      </c>
      <c r="I14" t="s">
        <v>50</v>
      </c>
      <c r="J14" t="str">
        <f t="shared" si="0"/>
        <v>080107</v>
      </c>
      <c r="K14" t="s">
        <v>22</v>
      </c>
      <c r="L14" t="s">
        <v>23</v>
      </c>
      <c r="M14" t="str">
        <f t="shared" si="2"/>
        <v>1</v>
      </c>
      <c r="O14" t="str">
        <f t="shared" si="1"/>
        <v>1 </v>
      </c>
      <c r="P14">
        <v>12.2</v>
      </c>
      <c r="Q14" t="s">
        <v>27</v>
      </c>
    </row>
    <row r="15" spans="1:17" ht="15">
      <c r="A15" t="s">
        <v>17</v>
      </c>
      <c r="B15" s="1">
        <v>43180</v>
      </c>
      <c r="C15" t="s">
        <v>18</v>
      </c>
      <c r="D15" t="str">
        <f>CONCATENATE("0060000103","")</f>
        <v>0060000103</v>
      </c>
      <c r="E15" t="str">
        <f>CONCATENATE("0010801001620       ","")</f>
        <v>0010801001620       </v>
      </c>
      <c r="F15" t="str">
        <f>CONCATENATE("605293382","")</f>
        <v>605293382</v>
      </c>
      <c r="G15" t="s">
        <v>19</v>
      </c>
      <c r="H15" t="s">
        <v>51</v>
      </c>
      <c r="I15" t="s">
        <v>52</v>
      </c>
      <c r="J15" t="str">
        <f t="shared" si="0"/>
        <v>080107</v>
      </c>
      <c r="K15" t="s">
        <v>22</v>
      </c>
      <c r="L15" t="s">
        <v>23</v>
      </c>
      <c r="M15" t="str">
        <f t="shared" si="2"/>
        <v>1</v>
      </c>
      <c r="O15" t="str">
        <f t="shared" si="1"/>
        <v>1 </v>
      </c>
      <c r="P15">
        <v>82.85</v>
      </c>
      <c r="Q15" t="s">
        <v>27</v>
      </c>
    </row>
    <row r="16" spans="1:17" ht="15">
      <c r="A16" t="s">
        <v>17</v>
      </c>
      <c r="B16" s="1">
        <v>43180</v>
      </c>
      <c r="C16" t="s">
        <v>18</v>
      </c>
      <c r="D16" t="str">
        <f>CONCATENATE("0060000106","")</f>
        <v>0060000106</v>
      </c>
      <c r="E16" t="str">
        <f>CONCATENATE("0010801001660       ","")</f>
        <v>0010801001660       </v>
      </c>
      <c r="F16" t="str">
        <f>CONCATENATE("605294271","")</f>
        <v>605294271</v>
      </c>
      <c r="G16" t="s">
        <v>19</v>
      </c>
      <c r="H16" t="s">
        <v>53</v>
      </c>
      <c r="I16" t="s">
        <v>54</v>
      </c>
      <c r="J16" t="str">
        <f t="shared" si="0"/>
        <v>080107</v>
      </c>
      <c r="K16" t="s">
        <v>22</v>
      </c>
      <c r="L16" t="s">
        <v>23</v>
      </c>
      <c r="M16" t="str">
        <f t="shared" si="2"/>
        <v>1</v>
      </c>
      <c r="O16" t="str">
        <f t="shared" si="1"/>
        <v>1 </v>
      </c>
      <c r="P16">
        <v>281.3</v>
      </c>
      <c r="Q16" t="s">
        <v>27</v>
      </c>
    </row>
    <row r="17" spans="1:17" ht="15">
      <c r="A17" t="s">
        <v>17</v>
      </c>
      <c r="B17" s="1">
        <v>43180</v>
      </c>
      <c r="C17" t="s">
        <v>18</v>
      </c>
      <c r="D17" t="str">
        <f>CONCATENATE("0060000109","")</f>
        <v>0060000109</v>
      </c>
      <c r="E17" t="str">
        <f>CONCATENATE("0010801001700       ","")</f>
        <v>0010801001700       </v>
      </c>
      <c r="F17" t="str">
        <f>CONCATENATE("605293376","")</f>
        <v>605293376</v>
      </c>
      <c r="G17" t="s">
        <v>19</v>
      </c>
      <c r="H17" t="s">
        <v>20</v>
      </c>
      <c r="I17" t="s">
        <v>55</v>
      </c>
      <c r="J17" t="str">
        <f t="shared" si="0"/>
        <v>080107</v>
      </c>
      <c r="K17" t="s">
        <v>22</v>
      </c>
      <c r="L17" t="s">
        <v>23</v>
      </c>
      <c r="M17" t="str">
        <f t="shared" si="2"/>
        <v>1</v>
      </c>
      <c r="O17" t="str">
        <f t="shared" si="1"/>
        <v>1 </v>
      </c>
      <c r="P17">
        <v>62.2</v>
      </c>
      <c r="Q17" t="s">
        <v>27</v>
      </c>
    </row>
    <row r="18" spans="1:17" ht="15">
      <c r="A18" t="s">
        <v>17</v>
      </c>
      <c r="B18" s="1">
        <v>43180</v>
      </c>
      <c r="C18" t="s">
        <v>18</v>
      </c>
      <c r="D18" t="str">
        <f>CONCATENATE("0060000116","")</f>
        <v>0060000116</v>
      </c>
      <c r="E18" t="str">
        <f>CONCATENATE("0010801001880       ","")</f>
        <v>0010801001880       </v>
      </c>
      <c r="F18" t="str">
        <f>CONCATENATE("1861139","")</f>
        <v>1861139</v>
      </c>
      <c r="G18" t="s">
        <v>19</v>
      </c>
      <c r="H18" t="s">
        <v>56</v>
      </c>
      <c r="I18" t="s">
        <v>57</v>
      </c>
      <c r="J18" t="str">
        <f t="shared" si="0"/>
        <v>080107</v>
      </c>
      <c r="K18" t="s">
        <v>22</v>
      </c>
      <c r="L18" t="s">
        <v>23</v>
      </c>
      <c r="M18" t="str">
        <f t="shared" si="2"/>
        <v>1</v>
      </c>
      <c r="O18" t="str">
        <f t="shared" si="1"/>
        <v>1 </v>
      </c>
      <c r="P18">
        <v>16.9</v>
      </c>
      <c r="Q18" t="s">
        <v>27</v>
      </c>
    </row>
    <row r="19" spans="1:17" ht="15">
      <c r="A19" t="s">
        <v>17</v>
      </c>
      <c r="B19" s="1">
        <v>43180</v>
      </c>
      <c r="C19" t="s">
        <v>18</v>
      </c>
      <c r="D19" t="str">
        <f>CONCATENATE("0060000122","")</f>
        <v>0060000122</v>
      </c>
      <c r="E19" t="str">
        <f>CONCATENATE("0010801001952       ","")</f>
        <v>0010801001952       </v>
      </c>
      <c r="F19" t="str">
        <f>CONCATENATE("2174876","")</f>
        <v>2174876</v>
      </c>
      <c r="G19" t="s">
        <v>19</v>
      </c>
      <c r="H19" t="s">
        <v>58</v>
      </c>
      <c r="I19" t="s">
        <v>59</v>
      </c>
      <c r="J19" t="str">
        <f t="shared" si="0"/>
        <v>080107</v>
      </c>
      <c r="K19" t="s">
        <v>22</v>
      </c>
      <c r="L19" t="s">
        <v>23</v>
      </c>
      <c r="M19" t="str">
        <f t="shared" si="2"/>
        <v>1</v>
      </c>
      <c r="O19" t="str">
        <f t="shared" si="1"/>
        <v>1 </v>
      </c>
      <c r="P19">
        <v>117.7</v>
      </c>
      <c r="Q19" t="s">
        <v>27</v>
      </c>
    </row>
    <row r="20" spans="1:17" ht="15">
      <c r="A20" t="s">
        <v>17</v>
      </c>
      <c r="B20" s="1">
        <v>43180</v>
      </c>
      <c r="C20" t="s">
        <v>18</v>
      </c>
      <c r="D20" t="str">
        <f>CONCATENATE("0060000137","")</f>
        <v>0060000137</v>
      </c>
      <c r="E20" t="str">
        <f>CONCATENATE("0010801002150       ","")</f>
        <v>0010801002150       </v>
      </c>
      <c r="F20" t="str">
        <f>CONCATENATE("1930667","")</f>
        <v>1930667</v>
      </c>
      <c r="G20" t="s">
        <v>19</v>
      </c>
      <c r="H20" t="s">
        <v>60</v>
      </c>
      <c r="I20" t="s">
        <v>61</v>
      </c>
      <c r="J20" t="str">
        <f t="shared" si="0"/>
        <v>080107</v>
      </c>
      <c r="K20" t="s">
        <v>22</v>
      </c>
      <c r="L20" t="s">
        <v>23</v>
      </c>
      <c r="M20" t="str">
        <f t="shared" si="2"/>
        <v>1</v>
      </c>
      <c r="O20" t="str">
        <f t="shared" si="1"/>
        <v>1 </v>
      </c>
      <c r="P20">
        <v>223.65</v>
      </c>
      <c r="Q20" t="s">
        <v>27</v>
      </c>
    </row>
    <row r="21" spans="1:17" ht="15">
      <c r="A21" t="s">
        <v>17</v>
      </c>
      <c r="B21" s="1">
        <v>43180</v>
      </c>
      <c r="C21" t="s">
        <v>18</v>
      </c>
      <c r="D21" t="str">
        <f>CONCATENATE("0060017681","")</f>
        <v>0060017681</v>
      </c>
      <c r="E21" t="str">
        <f>CONCATENATE("0010801002190       ","")</f>
        <v>0010801002190       </v>
      </c>
      <c r="F21" t="str">
        <f>CONCATENATE("1870187","")</f>
        <v>1870187</v>
      </c>
      <c r="G21" t="s">
        <v>19</v>
      </c>
      <c r="H21" t="s">
        <v>62</v>
      </c>
      <c r="I21" t="s">
        <v>63</v>
      </c>
      <c r="J21" t="str">
        <f t="shared" si="0"/>
        <v>080107</v>
      </c>
      <c r="K21" t="s">
        <v>22</v>
      </c>
      <c r="L21" t="s">
        <v>23</v>
      </c>
      <c r="M21" t="str">
        <f t="shared" si="2"/>
        <v>1</v>
      </c>
      <c r="O21" t="str">
        <f t="shared" si="1"/>
        <v>1 </v>
      </c>
      <c r="P21">
        <v>145.35</v>
      </c>
      <c r="Q21" t="s">
        <v>27</v>
      </c>
    </row>
    <row r="22" spans="1:17" ht="15">
      <c r="A22" t="s">
        <v>17</v>
      </c>
      <c r="B22" s="1">
        <v>43180</v>
      </c>
      <c r="C22" t="s">
        <v>64</v>
      </c>
      <c r="D22" t="str">
        <f>CONCATENATE("0060019002","")</f>
        <v>0060019002</v>
      </c>
      <c r="E22" t="str">
        <f>CONCATENATE("0010801002518       ","")</f>
        <v>0010801002518       </v>
      </c>
      <c r="F22" t="str">
        <f>CONCATENATE("1680351","")</f>
        <v>1680351</v>
      </c>
      <c r="G22" t="s">
        <v>19</v>
      </c>
      <c r="H22" t="s">
        <v>65</v>
      </c>
      <c r="I22" t="s">
        <v>66</v>
      </c>
      <c r="J22" t="str">
        <f>CONCATENATE("081211","")</f>
        <v>081211</v>
      </c>
      <c r="K22" t="s">
        <v>22</v>
      </c>
      <c r="L22" t="s">
        <v>23</v>
      </c>
      <c r="M22" t="str">
        <f>CONCATENATE("3","")</f>
        <v>3</v>
      </c>
      <c r="O22" t="str">
        <f t="shared" si="1"/>
        <v>1 </v>
      </c>
      <c r="P22">
        <v>26.15</v>
      </c>
      <c r="Q22" t="s">
        <v>24</v>
      </c>
    </row>
    <row r="23" spans="1:17" ht="15">
      <c r="A23" t="s">
        <v>17</v>
      </c>
      <c r="B23" s="1">
        <v>43180</v>
      </c>
      <c r="C23" t="s">
        <v>18</v>
      </c>
      <c r="D23" t="str">
        <f>CONCATENATE("0060010446","")</f>
        <v>0060010446</v>
      </c>
      <c r="E23" t="str">
        <f>CONCATENATE("0010801002655       ","")</f>
        <v>0010801002655       </v>
      </c>
      <c r="F23" t="str">
        <f>CONCATENATE("1860607","")</f>
        <v>1860607</v>
      </c>
      <c r="G23" t="s">
        <v>19</v>
      </c>
      <c r="H23" t="s">
        <v>67</v>
      </c>
      <c r="I23" t="s">
        <v>68</v>
      </c>
      <c r="J23" t="str">
        <f>CONCATENATE("080107","")</f>
        <v>080107</v>
      </c>
      <c r="K23" t="s">
        <v>22</v>
      </c>
      <c r="L23" t="s">
        <v>23</v>
      </c>
      <c r="M23" t="str">
        <f>CONCATENATE("1","")</f>
        <v>1</v>
      </c>
      <c r="O23" t="str">
        <f t="shared" si="1"/>
        <v>1 </v>
      </c>
      <c r="P23">
        <v>130.3</v>
      </c>
      <c r="Q23" t="s">
        <v>27</v>
      </c>
    </row>
    <row r="24" spans="1:17" ht="15">
      <c r="A24" t="s">
        <v>17</v>
      </c>
      <c r="B24" s="1">
        <v>43180</v>
      </c>
      <c r="C24" t="s">
        <v>18</v>
      </c>
      <c r="D24" t="str">
        <f>CONCATENATE("0060025613","")</f>
        <v>0060025613</v>
      </c>
      <c r="E24" t="str">
        <f>CONCATENATE("0010801002679       ","")</f>
        <v>0010801002679       </v>
      </c>
      <c r="F24" t="str">
        <f>CONCATENATE("607657401","")</f>
        <v>607657401</v>
      </c>
      <c r="G24" t="s">
        <v>19</v>
      </c>
      <c r="H24" t="s">
        <v>69</v>
      </c>
      <c r="I24" t="s">
        <v>70</v>
      </c>
      <c r="J24" t="str">
        <f>CONCATENATE("080107","")</f>
        <v>080107</v>
      </c>
      <c r="K24" t="s">
        <v>22</v>
      </c>
      <c r="L24" t="s">
        <v>23</v>
      </c>
      <c r="M24" t="str">
        <f>CONCATENATE("1","")</f>
        <v>1</v>
      </c>
      <c r="N24" t="str">
        <f>CONCATENATE("974992627","")</f>
        <v>974992627</v>
      </c>
      <c r="O24" t="str">
        <f t="shared" si="1"/>
        <v>1 </v>
      </c>
      <c r="P24">
        <v>90.2</v>
      </c>
      <c r="Q24" t="s">
        <v>27</v>
      </c>
    </row>
    <row r="25" spans="1:17" ht="15">
      <c r="A25" t="s">
        <v>17</v>
      </c>
      <c r="B25" s="1">
        <v>43180</v>
      </c>
      <c r="C25" t="s">
        <v>18</v>
      </c>
      <c r="D25" t="str">
        <f>CONCATENATE("0060010606","")</f>
        <v>0060010606</v>
      </c>
      <c r="E25" t="str">
        <f>CONCATENATE("0010801002685       ","")</f>
        <v>0010801002685       </v>
      </c>
      <c r="F25" t="str">
        <f>CONCATENATE("1860608","")</f>
        <v>1860608</v>
      </c>
      <c r="G25" t="s">
        <v>40</v>
      </c>
      <c r="H25" t="s">
        <v>71</v>
      </c>
      <c r="I25" t="s">
        <v>72</v>
      </c>
      <c r="J25" t="str">
        <f>CONCATENATE("080107","")</f>
        <v>080107</v>
      </c>
      <c r="K25" t="s">
        <v>22</v>
      </c>
      <c r="L25" t="s">
        <v>23</v>
      </c>
      <c r="M25" t="str">
        <f>CONCATENATE("1","")</f>
        <v>1</v>
      </c>
      <c r="O25" t="str">
        <f t="shared" si="1"/>
        <v>1 </v>
      </c>
      <c r="P25">
        <v>96.5</v>
      </c>
      <c r="Q25" t="s">
        <v>27</v>
      </c>
    </row>
    <row r="26" spans="1:17" ht="15">
      <c r="A26" t="s">
        <v>17</v>
      </c>
      <c r="B26" s="1">
        <v>43180</v>
      </c>
      <c r="C26" t="s">
        <v>18</v>
      </c>
      <c r="D26" t="str">
        <f>CONCATENATE("0060009144","")</f>
        <v>0060009144</v>
      </c>
      <c r="E26" t="str">
        <f>CONCATENATE("0010801002852       ","")</f>
        <v>0010801002852       </v>
      </c>
      <c r="F26" t="str">
        <f>CONCATENATE("605754018","")</f>
        <v>605754018</v>
      </c>
      <c r="G26" t="s">
        <v>40</v>
      </c>
      <c r="H26" t="s">
        <v>73</v>
      </c>
      <c r="I26" t="s">
        <v>74</v>
      </c>
      <c r="J26" t="str">
        <f>CONCATENATE("080107","")</f>
        <v>080107</v>
      </c>
      <c r="K26" t="s">
        <v>22</v>
      </c>
      <c r="L26" t="s">
        <v>23</v>
      </c>
      <c r="M26" t="str">
        <f>CONCATENATE("1","")</f>
        <v>1</v>
      </c>
      <c r="O26" t="str">
        <f t="shared" si="1"/>
        <v>1 </v>
      </c>
      <c r="P26">
        <v>184.65</v>
      </c>
      <c r="Q26" t="s">
        <v>27</v>
      </c>
    </row>
    <row r="27" spans="1:17" ht="15">
      <c r="A27" t="s">
        <v>17</v>
      </c>
      <c r="B27" s="1">
        <v>43180</v>
      </c>
      <c r="C27" t="s">
        <v>18</v>
      </c>
      <c r="D27" t="str">
        <f>CONCATENATE("0060014037","")</f>
        <v>0060014037</v>
      </c>
      <c r="E27" t="str">
        <f>CONCATENATE("0010801002861       ","")</f>
        <v>0010801002861       </v>
      </c>
      <c r="F27" t="str">
        <f>CONCATENATE("607639446","")</f>
        <v>607639446</v>
      </c>
      <c r="G27" t="s">
        <v>40</v>
      </c>
      <c r="H27" t="s">
        <v>75</v>
      </c>
      <c r="I27" t="s">
        <v>76</v>
      </c>
      <c r="J27" t="str">
        <f>CONCATENATE("080107","")</f>
        <v>080107</v>
      </c>
      <c r="K27" t="s">
        <v>22</v>
      </c>
      <c r="L27" t="s">
        <v>23</v>
      </c>
      <c r="M27" t="str">
        <f>CONCATENATE("3","")</f>
        <v>3</v>
      </c>
      <c r="O27" t="str">
        <f t="shared" si="1"/>
        <v>1 </v>
      </c>
      <c r="P27">
        <v>134.95</v>
      </c>
      <c r="Q27" t="s">
        <v>24</v>
      </c>
    </row>
    <row r="28" spans="1:17" ht="15">
      <c r="A28" t="s">
        <v>17</v>
      </c>
      <c r="B28" s="1">
        <v>43180</v>
      </c>
      <c r="C28" t="s">
        <v>64</v>
      </c>
      <c r="D28" t="str">
        <f>CONCATENATE("0060020013","")</f>
        <v>0060020013</v>
      </c>
      <c r="E28" t="str">
        <f>CONCATENATE("0010801002868       ","")</f>
        <v>0010801002868       </v>
      </c>
      <c r="F28" t="str">
        <f>CONCATENATE("607017384","")</f>
        <v>607017384</v>
      </c>
      <c r="G28" t="s">
        <v>40</v>
      </c>
      <c r="H28" t="s">
        <v>77</v>
      </c>
      <c r="I28" t="s">
        <v>78</v>
      </c>
      <c r="J28" t="str">
        <f>CONCATENATE("081211","")</f>
        <v>081211</v>
      </c>
      <c r="K28" t="s">
        <v>22</v>
      </c>
      <c r="L28" t="s">
        <v>23</v>
      </c>
      <c r="M28" t="str">
        <f>CONCATENATE("3","")</f>
        <v>3</v>
      </c>
      <c r="O28" t="str">
        <f t="shared" si="1"/>
        <v>1 </v>
      </c>
      <c r="P28">
        <v>102.85</v>
      </c>
      <c r="Q28" t="s">
        <v>24</v>
      </c>
    </row>
    <row r="29" spans="1:17" ht="15">
      <c r="A29" t="s">
        <v>17</v>
      </c>
      <c r="B29" s="1">
        <v>43180</v>
      </c>
      <c r="C29" t="s">
        <v>18</v>
      </c>
      <c r="D29" t="str">
        <f>CONCATENATE("0060000170","")</f>
        <v>0060000170</v>
      </c>
      <c r="E29" t="str">
        <f>CONCATENATE("0010801002869       ","")</f>
        <v>0010801002869       </v>
      </c>
      <c r="F29" t="str">
        <f>CONCATENATE("607649366","")</f>
        <v>607649366</v>
      </c>
      <c r="G29" t="s">
        <v>19</v>
      </c>
      <c r="H29" t="s">
        <v>79</v>
      </c>
      <c r="I29" t="s">
        <v>68</v>
      </c>
      <c r="J29" t="str">
        <f aca="true" t="shared" si="3" ref="J29:J35">CONCATENATE("080107","")</f>
        <v>080107</v>
      </c>
      <c r="K29" t="s">
        <v>22</v>
      </c>
      <c r="L29" t="s">
        <v>23</v>
      </c>
      <c r="M29" t="str">
        <f aca="true" t="shared" si="4" ref="M29:M35">CONCATENATE("1","")</f>
        <v>1</v>
      </c>
      <c r="O29" t="str">
        <f t="shared" si="1"/>
        <v>1 </v>
      </c>
      <c r="P29">
        <v>535.3</v>
      </c>
      <c r="Q29" t="s">
        <v>27</v>
      </c>
    </row>
    <row r="30" spans="1:17" ht="15">
      <c r="A30" t="s">
        <v>17</v>
      </c>
      <c r="B30" s="1">
        <v>43180</v>
      </c>
      <c r="C30" t="s">
        <v>18</v>
      </c>
      <c r="D30" t="str">
        <f>CONCATENATE("0060009830","")</f>
        <v>0060009830</v>
      </c>
      <c r="E30" t="str">
        <f>CONCATENATE("0010801002875       ","")</f>
        <v>0010801002875       </v>
      </c>
      <c r="F30" t="str">
        <f>CONCATENATE("607550246","")</f>
        <v>607550246</v>
      </c>
      <c r="G30" t="s">
        <v>19</v>
      </c>
      <c r="H30" t="s">
        <v>80</v>
      </c>
      <c r="I30" t="s">
        <v>81</v>
      </c>
      <c r="J30" t="str">
        <f t="shared" si="3"/>
        <v>080107</v>
      </c>
      <c r="K30" t="s">
        <v>22</v>
      </c>
      <c r="L30" t="s">
        <v>23</v>
      </c>
      <c r="M30" t="str">
        <f t="shared" si="4"/>
        <v>1</v>
      </c>
      <c r="O30" t="str">
        <f t="shared" si="1"/>
        <v>1 </v>
      </c>
      <c r="P30">
        <v>373.15</v>
      </c>
      <c r="Q30" t="s">
        <v>27</v>
      </c>
    </row>
    <row r="31" spans="1:17" ht="15">
      <c r="A31" t="s">
        <v>17</v>
      </c>
      <c r="B31" s="1">
        <v>43180</v>
      </c>
      <c r="C31" t="s">
        <v>18</v>
      </c>
      <c r="D31" t="str">
        <f>CONCATENATE("0060021303","")</f>
        <v>0060021303</v>
      </c>
      <c r="E31" t="str">
        <f>CONCATENATE("0010801002943       ","")</f>
        <v>0010801002943       </v>
      </c>
      <c r="F31" t="str">
        <f>CONCATENATE("607301241","")</f>
        <v>607301241</v>
      </c>
      <c r="G31" t="s">
        <v>19</v>
      </c>
      <c r="H31" t="s">
        <v>82</v>
      </c>
      <c r="I31" t="s">
        <v>83</v>
      </c>
      <c r="J31" t="str">
        <f t="shared" si="3"/>
        <v>080107</v>
      </c>
      <c r="K31" t="s">
        <v>22</v>
      </c>
      <c r="L31" t="s">
        <v>23</v>
      </c>
      <c r="M31" t="str">
        <f t="shared" si="4"/>
        <v>1</v>
      </c>
      <c r="N31" t="str">
        <f>CONCATENATE("984694886","")</f>
        <v>984694886</v>
      </c>
      <c r="O31" t="str">
        <f t="shared" si="1"/>
        <v>1 </v>
      </c>
      <c r="P31">
        <v>12.7</v>
      </c>
      <c r="Q31" t="s">
        <v>27</v>
      </c>
    </row>
    <row r="32" spans="1:17" ht="15">
      <c r="A32" t="s">
        <v>17</v>
      </c>
      <c r="B32" s="1">
        <v>43180</v>
      </c>
      <c r="C32" t="s">
        <v>18</v>
      </c>
      <c r="D32" t="str">
        <f>CONCATENATE("0060000182","")</f>
        <v>0060000182</v>
      </c>
      <c r="E32" t="str">
        <f>CONCATENATE("0010801002960       ","")</f>
        <v>0010801002960       </v>
      </c>
      <c r="F32" t="str">
        <f>CONCATENATE("2180757","")</f>
        <v>2180757</v>
      </c>
      <c r="G32" t="s">
        <v>19</v>
      </c>
      <c r="H32" t="s">
        <v>84</v>
      </c>
      <c r="I32" t="s">
        <v>85</v>
      </c>
      <c r="J32" t="str">
        <f t="shared" si="3"/>
        <v>080107</v>
      </c>
      <c r="K32" t="s">
        <v>22</v>
      </c>
      <c r="L32" t="s">
        <v>23</v>
      </c>
      <c r="M32" t="str">
        <f t="shared" si="4"/>
        <v>1</v>
      </c>
      <c r="O32" t="str">
        <f t="shared" si="1"/>
        <v>1 </v>
      </c>
      <c r="P32">
        <v>365.85</v>
      </c>
      <c r="Q32" t="s">
        <v>27</v>
      </c>
    </row>
    <row r="33" spans="1:17" ht="15">
      <c r="A33" t="s">
        <v>17</v>
      </c>
      <c r="B33" s="1">
        <v>43180</v>
      </c>
      <c r="C33" t="s">
        <v>18</v>
      </c>
      <c r="D33" t="str">
        <f>CONCATENATE("0060000183","")</f>
        <v>0060000183</v>
      </c>
      <c r="E33" t="str">
        <f>CONCATENATE("0010801003000       ","")</f>
        <v>0010801003000       </v>
      </c>
      <c r="F33" t="str">
        <f>CONCATENATE("605054052","")</f>
        <v>605054052</v>
      </c>
      <c r="G33" t="s">
        <v>19</v>
      </c>
      <c r="H33" t="s">
        <v>86</v>
      </c>
      <c r="I33" t="s">
        <v>87</v>
      </c>
      <c r="J33" t="str">
        <f t="shared" si="3"/>
        <v>080107</v>
      </c>
      <c r="K33" t="s">
        <v>22</v>
      </c>
      <c r="L33" t="s">
        <v>23</v>
      </c>
      <c r="M33" t="str">
        <f t="shared" si="4"/>
        <v>1</v>
      </c>
      <c r="O33" t="str">
        <f t="shared" si="1"/>
        <v>1 </v>
      </c>
      <c r="P33">
        <v>74.6</v>
      </c>
      <c r="Q33" t="s">
        <v>27</v>
      </c>
    </row>
    <row r="34" spans="1:17" ht="15">
      <c r="A34" t="s">
        <v>17</v>
      </c>
      <c r="B34" s="1">
        <v>43180</v>
      </c>
      <c r="C34" t="s">
        <v>18</v>
      </c>
      <c r="D34" t="str">
        <f>CONCATENATE("0060000186","")</f>
        <v>0060000186</v>
      </c>
      <c r="E34" t="str">
        <f>CONCATENATE("0010801003010       ","")</f>
        <v>0010801003010       </v>
      </c>
      <c r="F34" t="str">
        <f>CONCATENATE("6051115203","")</f>
        <v>6051115203</v>
      </c>
      <c r="G34" t="s">
        <v>19</v>
      </c>
      <c r="H34" t="s">
        <v>88</v>
      </c>
      <c r="I34" t="s">
        <v>68</v>
      </c>
      <c r="J34" t="str">
        <f t="shared" si="3"/>
        <v>080107</v>
      </c>
      <c r="K34" t="s">
        <v>22</v>
      </c>
      <c r="L34" t="s">
        <v>23</v>
      </c>
      <c r="M34" t="str">
        <f t="shared" si="4"/>
        <v>1</v>
      </c>
      <c r="O34" t="str">
        <f t="shared" si="1"/>
        <v>1 </v>
      </c>
      <c r="P34">
        <v>22.3</v>
      </c>
      <c r="Q34" t="s">
        <v>27</v>
      </c>
    </row>
    <row r="35" spans="1:17" ht="15">
      <c r="A35" t="s">
        <v>17</v>
      </c>
      <c r="B35" s="1">
        <v>43180</v>
      </c>
      <c r="C35" t="s">
        <v>18</v>
      </c>
      <c r="D35" t="str">
        <f>CONCATENATE("0060015356","")</f>
        <v>0060015356</v>
      </c>
      <c r="E35" t="str">
        <f>CONCATENATE("0010801003023       ","")</f>
        <v>0010801003023       </v>
      </c>
      <c r="F35" t="str">
        <f>CONCATENATE("605942038","")</f>
        <v>605942038</v>
      </c>
      <c r="G35" t="s">
        <v>40</v>
      </c>
      <c r="H35" t="s">
        <v>89</v>
      </c>
      <c r="I35" t="s">
        <v>90</v>
      </c>
      <c r="J35" t="str">
        <f t="shared" si="3"/>
        <v>080107</v>
      </c>
      <c r="K35" t="s">
        <v>22</v>
      </c>
      <c r="L35" t="s">
        <v>23</v>
      </c>
      <c r="M35" t="str">
        <f t="shared" si="4"/>
        <v>1</v>
      </c>
      <c r="O35" t="str">
        <f t="shared" si="1"/>
        <v>1 </v>
      </c>
      <c r="P35">
        <v>77.5</v>
      </c>
      <c r="Q35" t="s">
        <v>27</v>
      </c>
    </row>
    <row r="36" spans="1:17" ht="15">
      <c r="A36" t="s">
        <v>17</v>
      </c>
      <c r="B36" s="1">
        <v>43180</v>
      </c>
      <c r="C36" t="s">
        <v>64</v>
      </c>
      <c r="D36" t="str">
        <f>CONCATENATE("0060018952","")</f>
        <v>0060018952</v>
      </c>
      <c r="E36" t="str">
        <f>CONCATENATE("0010802000028       ","")</f>
        <v>0010802000028       </v>
      </c>
      <c r="F36" t="str">
        <f>CONCATENATE("507030656","")</f>
        <v>507030656</v>
      </c>
      <c r="G36" t="s">
        <v>91</v>
      </c>
      <c r="H36" t="s">
        <v>92</v>
      </c>
      <c r="I36" t="s">
        <v>93</v>
      </c>
      <c r="J36" t="str">
        <f>CONCATENATE("081211","")</f>
        <v>081211</v>
      </c>
      <c r="K36" t="s">
        <v>22</v>
      </c>
      <c r="L36" t="s">
        <v>23</v>
      </c>
      <c r="M36" t="str">
        <f>CONCATENATE("3","")</f>
        <v>3</v>
      </c>
      <c r="O36" t="str">
        <f t="shared" si="1"/>
        <v>1 </v>
      </c>
      <c r="P36">
        <v>72.2</v>
      </c>
      <c r="Q36" t="s">
        <v>24</v>
      </c>
    </row>
    <row r="37" spans="1:17" ht="15">
      <c r="A37" t="s">
        <v>17</v>
      </c>
      <c r="B37" s="1">
        <v>43180</v>
      </c>
      <c r="C37" t="s">
        <v>18</v>
      </c>
      <c r="D37" t="str">
        <f>CONCATENATE("0060008881","")</f>
        <v>0060008881</v>
      </c>
      <c r="E37" t="str">
        <f>CONCATENATE("0010802000105       ","")</f>
        <v>0010802000105       </v>
      </c>
      <c r="F37" t="str">
        <f>CONCATENATE("606897489","")</f>
        <v>606897489</v>
      </c>
      <c r="G37" t="s">
        <v>91</v>
      </c>
      <c r="H37" t="s">
        <v>94</v>
      </c>
      <c r="I37" t="s">
        <v>95</v>
      </c>
      <c r="J37" t="str">
        <f>CONCATENATE("080107","")</f>
        <v>080107</v>
      </c>
      <c r="K37" t="s">
        <v>22</v>
      </c>
      <c r="L37" t="s">
        <v>23</v>
      </c>
      <c r="M37" t="str">
        <f aca="true" t="shared" si="5" ref="M37:M43">CONCATENATE("1","")</f>
        <v>1</v>
      </c>
      <c r="O37" t="str">
        <f t="shared" si="1"/>
        <v>1 </v>
      </c>
      <c r="P37">
        <v>330.95</v>
      </c>
      <c r="Q37" t="s">
        <v>27</v>
      </c>
    </row>
    <row r="38" spans="1:17" ht="15">
      <c r="A38" t="s">
        <v>17</v>
      </c>
      <c r="B38" s="1">
        <v>43180</v>
      </c>
      <c r="C38" t="s">
        <v>18</v>
      </c>
      <c r="D38" t="str">
        <f>CONCATENATE("0060000254","")</f>
        <v>0060000254</v>
      </c>
      <c r="E38" t="str">
        <f>CONCATENATE("0010802000290       ","")</f>
        <v>0010802000290       </v>
      </c>
      <c r="F38" t="str">
        <f>CONCATENATE("2126558","")</f>
        <v>2126558</v>
      </c>
      <c r="G38" t="s">
        <v>91</v>
      </c>
      <c r="H38" t="s">
        <v>96</v>
      </c>
      <c r="I38" t="s">
        <v>97</v>
      </c>
      <c r="J38" t="str">
        <f>CONCATENATE("080107","")</f>
        <v>080107</v>
      </c>
      <c r="K38" t="s">
        <v>22</v>
      </c>
      <c r="L38" t="s">
        <v>23</v>
      </c>
      <c r="M38" t="str">
        <f t="shared" si="5"/>
        <v>1</v>
      </c>
      <c r="O38" t="str">
        <f t="shared" si="1"/>
        <v>1 </v>
      </c>
      <c r="P38">
        <v>26.25</v>
      </c>
      <c r="Q38" t="s">
        <v>27</v>
      </c>
    </row>
    <row r="39" spans="1:17" ht="15">
      <c r="A39" t="s">
        <v>17</v>
      </c>
      <c r="B39" s="1">
        <v>43180</v>
      </c>
      <c r="C39" t="s">
        <v>18</v>
      </c>
      <c r="D39" t="str">
        <f>CONCATENATE("0060022019","")</f>
        <v>0060022019</v>
      </c>
      <c r="E39" t="str">
        <f>CONCATENATE("0010802000398       ","")</f>
        <v>0010802000398       </v>
      </c>
      <c r="F39" t="str">
        <f>CONCATENATE("607295380","")</f>
        <v>607295380</v>
      </c>
      <c r="G39" t="s">
        <v>91</v>
      </c>
      <c r="H39" t="s">
        <v>98</v>
      </c>
      <c r="I39" t="s">
        <v>99</v>
      </c>
      <c r="J39" t="str">
        <f>CONCATENATE("080107","")</f>
        <v>080107</v>
      </c>
      <c r="K39" t="s">
        <v>22</v>
      </c>
      <c r="L39" t="s">
        <v>23</v>
      </c>
      <c r="M39" t="str">
        <f t="shared" si="5"/>
        <v>1</v>
      </c>
      <c r="N39" t="str">
        <f>CONCATENATE("952332591","")</f>
        <v>952332591</v>
      </c>
      <c r="O39" t="str">
        <f t="shared" si="1"/>
        <v>1 </v>
      </c>
      <c r="P39">
        <v>26.35</v>
      </c>
      <c r="Q39" t="s">
        <v>27</v>
      </c>
    </row>
    <row r="40" spans="1:17" ht="15">
      <c r="A40" t="s">
        <v>17</v>
      </c>
      <c r="B40" s="1">
        <v>43180</v>
      </c>
      <c r="C40" t="s">
        <v>64</v>
      </c>
      <c r="D40" t="str">
        <f>CONCATENATE("0060019252","")</f>
        <v>0060019252</v>
      </c>
      <c r="E40" t="str">
        <f>CONCATENATE("0010802000399       ","")</f>
        <v>0010802000399       </v>
      </c>
      <c r="F40" t="str">
        <f>CONCATENATE("606664227","")</f>
        <v>606664227</v>
      </c>
      <c r="G40" t="s">
        <v>91</v>
      </c>
      <c r="H40" t="s">
        <v>100</v>
      </c>
      <c r="I40" t="s">
        <v>101</v>
      </c>
      <c r="J40" t="str">
        <f>CONCATENATE("081211","")</f>
        <v>081211</v>
      </c>
      <c r="K40" t="s">
        <v>22</v>
      </c>
      <c r="L40" t="s">
        <v>23</v>
      </c>
      <c r="M40" t="str">
        <f t="shared" si="5"/>
        <v>1</v>
      </c>
      <c r="O40" t="str">
        <f t="shared" si="1"/>
        <v>1 </v>
      </c>
      <c r="P40">
        <v>213.55</v>
      </c>
      <c r="Q40" t="s">
        <v>27</v>
      </c>
    </row>
    <row r="41" spans="1:17" ht="15">
      <c r="A41" t="s">
        <v>17</v>
      </c>
      <c r="B41" s="1">
        <v>43180</v>
      </c>
      <c r="C41" t="s">
        <v>102</v>
      </c>
      <c r="D41" t="str">
        <f>CONCATENATE("0060000281","")</f>
        <v>0060000281</v>
      </c>
      <c r="E41" t="str">
        <f>CONCATENATE("0010802000413       ","")</f>
        <v>0010802000413       </v>
      </c>
      <c r="F41" t="str">
        <f>CONCATENATE("606808780","")</f>
        <v>606808780</v>
      </c>
      <c r="G41" t="s">
        <v>103</v>
      </c>
      <c r="H41" t="s">
        <v>104</v>
      </c>
      <c r="I41" t="s">
        <v>105</v>
      </c>
      <c r="J41" t="str">
        <f>CONCATENATE("080104","")</f>
        <v>080104</v>
      </c>
      <c r="K41" t="s">
        <v>22</v>
      </c>
      <c r="L41" t="s">
        <v>23</v>
      </c>
      <c r="M41" t="str">
        <f t="shared" si="5"/>
        <v>1</v>
      </c>
      <c r="O41" t="str">
        <f t="shared" si="1"/>
        <v>1 </v>
      </c>
      <c r="P41">
        <v>69.4</v>
      </c>
      <c r="Q41" t="s">
        <v>27</v>
      </c>
    </row>
    <row r="42" spans="1:17" ht="15">
      <c r="A42" t="s">
        <v>17</v>
      </c>
      <c r="B42" s="1">
        <v>43180</v>
      </c>
      <c r="C42" t="s">
        <v>18</v>
      </c>
      <c r="D42" t="str">
        <f>CONCATENATE("0060021474","")</f>
        <v>0060021474</v>
      </c>
      <c r="E42" t="str">
        <f>CONCATENATE("0010802000438       ","")</f>
        <v>0010802000438       </v>
      </c>
      <c r="F42" t="str">
        <f>CONCATENATE("607541704","")</f>
        <v>607541704</v>
      </c>
      <c r="G42" t="s">
        <v>91</v>
      </c>
      <c r="H42" t="s">
        <v>106</v>
      </c>
      <c r="I42" t="s">
        <v>107</v>
      </c>
      <c r="J42" t="str">
        <f aca="true" t="shared" si="6" ref="J42:J52">CONCATENATE("080107","")</f>
        <v>080107</v>
      </c>
      <c r="K42" t="s">
        <v>22</v>
      </c>
      <c r="L42" t="s">
        <v>23</v>
      </c>
      <c r="M42" t="str">
        <f t="shared" si="5"/>
        <v>1</v>
      </c>
      <c r="N42" t="str">
        <f>CONCATENATE("974940983","")</f>
        <v>974940983</v>
      </c>
      <c r="O42" t="str">
        <f t="shared" si="1"/>
        <v>1 </v>
      </c>
      <c r="P42">
        <v>26.15</v>
      </c>
      <c r="Q42" t="s">
        <v>27</v>
      </c>
    </row>
    <row r="43" spans="1:17" ht="15">
      <c r="A43" t="s">
        <v>17</v>
      </c>
      <c r="B43" s="1">
        <v>43180</v>
      </c>
      <c r="C43" t="s">
        <v>18</v>
      </c>
      <c r="D43" t="str">
        <f>CONCATENATE("0060000316","")</f>
        <v>0060000316</v>
      </c>
      <c r="E43" t="str">
        <f>CONCATENATE("0010802002055       ","")</f>
        <v>0010802002055       </v>
      </c>
      <c r="F43" t="str">
        <f>CONCATENATE("2015024931","")</f>
        <v>2015024931</v>
      </c>
      <c r="G43" t="s">
        <v>91</v>
      </c>
      <c r="H43" t="s">
        <v>108</v>
      </c>
      <c r="I43" t="s">
        <v>97</v>
      </c>
      <c r="J43" t="str">
        <f t="shared" si="6"/>
        <v>080107</v>
      </c>
      <c r="K43" t="s">
        <v>22</v>
      </c>
      <c r="L43" t="s">
        <v>23</v>
      </c>
      <c r="M43" t="str">
        <f t="shared" si="5"/>
        <v>1</v>
      </c>
      <c r="O43" t="str">
        <f t="shared" si="1"/>
        <v>1 </v>
      </c>
      <c r="P43">
        <v>490.84</v>
      </c>
      <c r="Q43" t="s">
        <v>27</v>
      </c>
    </row>
    <row r="44" spans="1:17" ht="15">
      <c r="A44" t="s">
        <v>17</v>
      </c>
      <c r="B44" s="1">
        <v>43180</v>
      </c>
      <c r="C44" t="s">
        <v>18</v>
      </c>
      <c r="D44" t="str">
        <f>CONCATENATE("0060020478","")</f>
        <v>0060020478</v>
      </c>
      <c r="E44" t="str">
        <f>CONCATENATE("0010803000006       ","")</f>
        <v>0010803000006       </v>
      </c>
      <c r="F44" t="str">
        <f>CONCATENATE("607431546","")</f>
        <v>607431546</v>
      </c>
      <c r="G44" t="s">
        <v>109</v>
      </c>
      <c r="H44" t="s">
        <v>110</v>
      </c>
      <c r="I44" t="s">
        <v>111</v>
      </c>
      <c r="J44" t="str">
        <f t="shared" si="6"/>
        <v>080107</v>
      </c>
      <c r="K44" t="s">
        <v>22</v>
      </c>
      <c r="L44" t="s">
        <v>23</v>
      </c>
      <c r="M44" t="str">
        <f>CONCATENATE("3","")</f>
        <v>3</v>
      </c>
      <c r="O44" t="str">
        <f t="shared" si="1"/>
        <v>1 </v>
      </c>
      <c r="P44">
        <v>199.35</v>
      </c>
      <c r="Q44" t="s">
        <v>24</v>
      </c>
    </row>
    <row r="45" spans="1:17" ht="15">
      <c r="A45" t="s">
        <v>17</v>
      </c>
      <c r="B45" s="1">
        <v>43180</v>
      </c>
      <c r="C45" t="s">
        <v>18</v>
      </c>
      <c r="D45" t="str">
        <f>CONCATENATE("0060012649","")</f>
        <v>0060012649</v>
      </c>
      <c r="E45" t="str">
        <f>CONCATENATE("0010803000035       ","")</f>
        <v>0010803000035       </v>
      </c>
      <c r="F45" t="str">
        <f>CONCATENATE("607431114","")</f>
        <v>607431114</v>
      </c>
      <c r="G45" t="s">
        <v>109</v>
      </c>
      <c r="H45" t="s">
        <v>112</v>
      </c>
      <c r="I45" t="s">
        <v>113</v>
      </c>
      <c r="J45" t="str">
        <f t="shared" si="6"/>
        <v>080107</v>
      </c>
      <c r="K45" t="s">
        <v>22</v>
      </c>
      <c r="L45" t="s">
        <v>23</v>
      </c>
      <c r="M45" t="str">
        <f>CONCATENATE("3","")</f>
        <v>3</v>
      </c>
      <c r="O45" t="str">
        <f t="shared" si="1"/>
        <v>1 </v>
      </c>
      <c r="P45">
        <v>620.4</v>
      </c>
      <c r="Q45" t="s">
        <v>24</v>
      </c>
    </row>
    <row r="46" spans="1:17" ht="15">
      <c r="A46" t="s">
        <v>17</v>
      </c>
      <c r="B46" s="1">
        <v>43180</v>
      </c>
      <c r="C46" t="s">
        <v>18</v>
      </c>
      <c r="D46" t="str">
        <f>CONCATENATE("0060015460","")</f>
        <v>0060015460</v>
      </c>
      <c r="E46" t="str">
        <f>CONCATENATE("0010803000036       ","")</f>
        <v>0010803000036       </v>
      </c>
      <c r="F46" t="str">
        <f>CONCATENATE("507008228","")</f>
        <v>507008228</v>
      </c>
      <c r="G46" t="s">
        <v>109</v>
      </c>
      <c r="H46" t="s">
        <v>114</v>
      </c>
      <c r="I46" t="s">
        <v>115</v>
      </c>
      <c r="J46" t="str">
        <f t="shared" si="6"/>
        <v>080107</v>
      </c>
      <c r="K46" t="s">
        <v>22</v>
      </c>
      <c r="L46" t="s">
        <v>23</v>
      </c>
      <c r="M46" t="str">
        <f>CONCATENATE("3","")</f>
        <v>3</v>
      </c>
      <c r="O46" t="str">
        <f t="shared" si="1"/>
        <v>1 </v>
      </c>
      <c r="P46">
        <v>311.4</v>
      </c>
      <c r="Q46" t="s">
        <v>24</v>
      </c>
    </row>
    <row r="47" spans="1:17" ht="15">
      <c r="A47" t="s">
        <v>17</v>
      </c>
      <c r="B47" s="1">
        <v>43180</v>
      </c>
      <c r="C47" t="s">
        <v>18</v>
      </c>
      <c r="D47" t="str">
        <f>CONCATENATE("0060008143","")</f>
        <v>0060008143</v>
      </c>
      <c r="E47" t="str">
        <f>CONCATENATE("0010803000151       ","")</f>
        <v>0010803000151       </v>
      </c>
      <c r="F47" t="str">
        <f>CONCATENATE("605085366","")</f>
        <v>605085366</v>
      </c>
      <c r="G47" t="s">
        <v>109</v>
      </c>
      <c r="H47" t="s">
        <v>116</v>
      </c>
      <c r="I47" t="s">
        <v>117</v>
      </c>
      <c r="J47" t="str">
        <f t="shared" si="6"/>
        <v>080107</v>
      </c>
      <c r="K47" t="s">
        <v>22</v>
      </c>
      <c r="L47" t="s">
        <v>23</v>
      </c>
      <c r="M47" t="str">
        <f aca="true" t="shared" si="7" ref="M47:M54">CONCATENATE("1","")</f>
        <v>1</v>
      </c>
      <c r="O47" t="str">
        <f t="shared" si="1"/>
        <v>1 </v>
      </c>
      <c r="P47">
        <v>184</v>
      </c>
      <c r="Q47" t="s">
        <v>27</v>
      </c>
    </row>
    <row r="48" spans="1:17" ht="15">
      <c r="A48" t="s">
        <v>17</v>
      </c>
      <c r="B48" s="1">
        <v>43180</v>
      </c>
      <c r="C48" t="s">
        <v>18</v>
      </c>
      <c r="D48" t="str">
        <f>CONCATENATE("0060013680","")</f>
        <v>0060013680</v>
      </c>
      <c r="E48" t="str">
        <f>CONCATENATE("0010803000154       ","")</f>
        <v>0010803000154       </v>
      </c>
      <c r="F48" t="str">
        <f>CONCATENATE("605621047","")</f>
        <v>605621047</v>
      </c>
      <c r="G48" t="s">
        <v>109</v>
      </c>
      <c r="H48" t="s">
        <v>118</v>
      </c>
      <c r="I48" t="s">
        <v>119</v>
      </c>
      <c r="J48" t="str">
        <f t="shared" si="6"/>
        <v>080107</v>
      </c>
      <c r="K48" t="s">
        <v>22</v>
      </c>
      <c r="L48" t="s">
        <v>23</v>
      </c>
      <c r="M48" t="str">
        <f t="shared" si="7"/>
        <v>1</v>
      </c>
      <c r="O48" t="str">
        <f t="shared" si="1"/>
        <v>1 </v>
      </c>
      <c r="P48">
        <v>88.15</v>
      </c>
      <c r="Q48" t="s">
        <v>27</v>
      </c>
    </row>
    <row r="49" spans="1:17" ht="15">
      <c r="A49" t="s">
        <v>17</v>
      </c>
      <c r="B49" s="1">
        <v>43180</v>
      </c>
      <c r="C49" t="s">
        <v>18</v>
      </c>
      <c r="D49" t="str">
        <f>CONCATENATE("0060014929","")</f>
        <v>0060014929</v>
      </c>
      <c r="E49" t="str">
        <f>CONCATENATE("0010803000165       ","")</f>
        <v>0010803000165       </v>
      </c>
      <c r="F49" t="str">
        <f>CONCATENATE("605941484","")</f>
        <v>605941484</v>
      </c>
      <c r="G49" t="s">
        <v>109</v>
      </c>
      <c r="H49" t="s">
        <v>120</v>
      </c>
      <c r="I49" t="s">
        <v>121</v>
      </c>
      <c r="J49" t="str">
        <f t="shared" si="6"/>
        <v>080107</v>
      </c>
      <c r="K49" t="s">
        <v>22</v>
      </c>
      <c r="L49" t="s">
        <v>23</v>
      </c>
      <c r="M49" t="str">
        <f t="shared" si="7"/>
        <v>1</v>
      </c>
      <c r="O49" t="str">
        <f t="shared" si="1"/>
        <v>1 </v>
      </c>
      <c r="P49">
        <v>41.2</v>
      </c>
      <c r="Q49" t="s">
        <v>27</v>
      </c>
    </row>
    <row r="50" spans="1:17" ht="15">
      <c r="A50" t="s">
        <v>17</v>
      </c>
      <c r="B50" s="1">
        <v>43180</v>
      </c>
      <c r="C50" t="s">
        <v>18</v>
      </c>
      <c r="D50" t="str">
        <f>CONCATENATE("0060020495","")</f>
        <v>0060020495</v>
      </c>
      <c r="E50" t="str">
        <f>CONCATENATE("0010803000215       ","")</f>
        <v>0010803000215       </v>
      </c>
      <c r="F50" t="str">
        <f>CONCATENATE("606843414","")</f>
        <v>606843414</v>
      </c>
      <c r="G50" t="s">
        <v>109</v>
      </c>
      <c r="H50" t="s">
        <v>122</v>
      </c>
      <c r="I50" t="s">
        <v>123</v>
      </c>
      <c r="J50" t="str">
        <f t="shared" si="6"/>
        <v>080107</v>
      </c>
      <c r="K50" t="s">
        <v>22</v>
      </c>
      <c r="L50" t="s">
        <v>23</v>
      </c>
      <c r="M50" t="str">
        <f t="shared" si="7"/>
        <v>1</v>
      </c>
      <c r="O50" t="str">
        <f t="shared" si="1"/>
        <v>1 </v>
      </c>
      <c r="P50">
        <v>12</v>
      </c>
      <c r="Q50" t="s">
        <v>27</v>
      </c>
    </row>
    <row r="51" spans="1:17" ht="15">
      <c r="A51" t="s">
        <v>17</v>
      </c>
      <c r="B51" s="1">
        <v>43180</v>
      </c>
      <c r="C51" t="s">
        <v>18</v>
      </c>
      <c r="D51" t="str">
        <f>CONCATENATE("0060018284","")</f>
        <v>0060018284</v>
      </c>
      <c r="E51" t="str">
        <f>CONCATENATE("0010803000246       ","")</f>
        <v>0010803000246       </v>
      </c>
      <c r="F51" t="str">
        <f>CONCATENATE("2188695","")</f>
        <v>2188695</v>
      </c>
      <c r="G51" t="s">
        <v>109</v>
      </c>
      <c r="H51" t="s">
        <v>124</v>
      </c>
      <c r="I51" t="s">
        <v>125</v>
      </c>
      <c r="J51" t="str">
        <f t="shared" si="6"/>
        <v>080107</v>
      </c>
      <c r="K51" t="s">
        <v>22</v>
      </c>
      <c r="L51" t="s">
        <v>23</v>
      </c>
      <c r="M51" t="str">
        <f t="shared" si="7"/>
        <v>1</v>
      </c>
      <c r="O51" t="str">
        <f t="shared" si="1"/>
        <v>1 </v>
      </c>
      <c r="P51">
        <v>235.05</v>
      </c>
      <c r="Q51" t="s">
        <v>27</v>
      </c>
    </row>
    <row r="52" spans="1:17" ht="15">
      <c r="A52" t="s">
        <v>17</v>
      </c>
      <c r="B52" s="1">
        <v>43180</v>
      </c>
      <c r="C52" t="s">
        <v>18</v>
      </c>
      <c r="D52" t="str">
        <f>CONCATENATE("0060018283","")</f>
        <v>0060018283</v>
      </c>
      <c r="E52" t="str">
        <f>CONCATENATE("0010803000247       ","")</f>
        <v>0010803000247       </v>
      </c>
      <c r="F52" t="str">
        <f>CONCATENATE("2184556","")</f>
        <v>2184556</v>
      </c>
      <c r="G52" t="s">
        <v>109</v>
      </c>
      <c r="H52" t="s">
        <v>124</v>
      </c>
      <c r="I52" t="s">
        <v>126</v>
      </c>
      <c r="J52" t="str">
        <f t="shared" si="6"/>
        <v>080107</v>
      </c>
      <c r="K52" t="s">
        <v>22</v>
      </c>
      <c r="L52" t="s">
        <v>23</v>
      </c>
      <c r="M52" t="str">
        <f t="shared" si="7"/>
        <v>1</v>
      </c>
      <c r="O52" t="str">
        <f t="shared" si="1"/>
        <v>1 </v>
      </c>
      <c r="P52">
        <v>119.7</v>
      </c>
      <c r="Q52" t="s">
        <v>27</v>
      </c>
    </row>
    <row r="53" spans="1:17" ht="15">
      <c r="A53" t="s">
        <v>17</v>
      </c>
      <c r="B53" s="1">
        <v>43180</v>
      </c>
      <c r="C53" t="s">
        <v>64</v>
      </c>
      <c r="D53" t="str">
        <f>CONCATENATE("0060026409","")</f>
        <v>0060026409</v>
      </c>
      <c r="E53" t="str">
        <f>CONCATENATE("0010803000261       ","")</f>
        <v>0010803000261       </v>
      </c>
      <c r="F53" t="str">
        <f>CONCATENATE("2014024277","")</f>
        <v>2014024277</v>
      </c>
      <c r="G53" t="s">
        <v>109</v>
      </c>
      <c r="H53" t="s">
        <v>127</v>
      </c>
      <c r="I53" t="s">
        <v>128</v>
      </c>
      <c r="J53" t="str">
        <f>CONCATENATE("081211","")</f>
        <v>081211</v>
      </c>
      <c r="K53" t="s">
        <v>22</v>
      </c>
      <c r="L53" t="s">
        <v>23</v>
      </c>
      <c r="M53" t="str">
        <f t="shared" si="7"/>
        <v>1</v>
      </c>
      <c r="N53" t="str">
        <f>CONCATENATE("943753530","")</f>
        <v>943753530</v>
      </c>
      <c r="O53" t="str">
        <f t="shared" si="1"/>
        <v>1 </v>
      </c>
      <c r="P53">
        <v>11.95</v>
      </c>
      <c r="Q53" t="s">
        <v>27</v>
      </c>
    </row>
    <row r="54" spans="1:17" ht="15">
      <c r="A54" t="s">
        <v>17</v>
      </c>
      <c r="B54" s="1">
        <v>43180</v>
      </c>
      <c r="C54" t="s">
        <v>18</v>
      </c>
      <c r="D54" t="str">
        <f>CONCATENATE("0060025427","")</f>
        <v>0060025427</v>
      </c>
      <c r="E54" t="str">
        <f>CONCATENATE("0010803000273       ","")</f>
        <v>0010803000273       </v>
      </c>
      <c r="F54" t="str">
        <f>CONCATENATE("607540184","")</f>
        <v>607540184</v>
      </c>
      <c r="G54" t="s">
        <v>109</v>
      </c>
      <c r="H54" t="s">
        <v>129</v>
      </c>
      <c r="I54" t="s">
        <v>130</v>
      </c>
      <c r="J54" t="str">
        <f>CONCATENATE("080107","")</f>
        <v>080107</v>
      </c>
      <c r="K54" t="s">
        <v>22</v>
      </c>
      <c r="L54" t="s">
        <v>23</v>
      </c>
      <c r="M54" t="str">
        <f t="shared" si="7"/>
        <v>1</v>
      </c>
      <c r="N54" t="str">
        <f>CONCATENATE("957124458","")</f>
        <v>957124458</v>
      </c>
      <c r="O54" t="str">
        <f t="shared" si="1"/>
        <v>1 </v>
      </c>
      <c r="P54">
        <v>17.45</v>
      </c>
      <c r="Q54" t="s">
        <v>27</v>
      </c>
    </row>
    <row r="55" spans="1:17" ht="15">
      <c r="A55" t="s">
        <v>17</v>
      </c>
      <c r="B55" s="1">
        <v>43180</v>
      </c>
      <c r="C55" t="s">
        <v>18</v>
      </c>
      <c r="D55" t="str">
        <f>CONCATENATE("0060026059","")</f>
        <v>0060026059</v>
      </c>
      <c r="E55" t="str">
        <f>CONCATENATE("0010803000296       ","")</f>
        <v>0010803000296       </v>
      </c>
      <c r="F55" t="str">
        <f>CONCATENATE("607639007","")</f>
        <v>607639007</v>
      </c>
      <c r="G55" t="s">
        <v>109</v>
      </c>
      <c r="H55" t="s">
        <v>131</v>
      </c>
      <c r="I55" t="s">
        <v>132</v>
      </c>
      <c r="J55" t="str">
        <f>CONCATENATE("080107","")</f>
        <v>080107</v>
      </c>
      <c r="K55" t="s">
        <v>22</v>
      </c>
      <c r="L55" t="s">
        <v>23</v>
      </c>
      <c r="M55" t="str">
        <f>CONCATENATE("3","")</f>
        <v>3</v>
      </c>
      <c r="N55" t="str">
        <f>CONCATENATE("989644304","")</f>
        <v>989644304</v>
      </c>
      <c r="O55" t="str">
        <f t="shared" si="1"/>
        <v>1 </v>
      </c>
      <c r="P55">
        <v>12.9</v>
      </c>
      <c r="Q55" t="s">
        <v>24</v>
      </c>
    </row>
    <row r="56" spans="1:17" ht="15">
      <c r="A56" t="s">
        <v>17</v>
      </c>
      <c r="B56" s="1">
        <v>43180</v>
      </c>
      <c r="C56" t="s">
        <v>18</v>
      </c>
      <c r="D56" t="str">
        <f>CONCATENATE("0060010517","")</f>
        <v>0060010517</v>
      </c>
      <c r="E56" t="str">
        <f>CONCATENATE("0010803000316       ","")</f>
        <v>0010803000316       </v>
      </c>
      <c r="F56" t="str">
        <f>CONCATENATE("1860955","")</f>
        <v>1860955</v>
      </c>
      <c r="G56" t="s">
        <v>133</v>
      </c>
      <c r="H56" t="s">
        <v>134</v>
      </c>
      <c r="I56" t="s">
        <v>135</v>
      </c>
      <c r="J56" t="str">
        <f>CONCATENATE("080107","")</f>
        <v>080107</v>
      </c>
      <c r="K56" t="s">
        <v>22</v>
      </c>
      <c r="L56" t="s">
        <v>23</v>
      </c>
      <c r="M56" t="str">
        <f aca="true" t="shared" si="8" ref="M56:M63">CONCATENATE("1","")</f>
        <v>1</v>
      </c>
      <c r="O56" t="str">
        <f t="shared" si="1"/>
        <v>1 </v>
      </c>
      <c r="P56">
        <v>236.75</v>
      </c>
      <c r="Q56" t="s">
        <v>27</v>
      </c>
    </row>
    <row r="57" spans="1:17" ht="15">
      <c r="A57" t="s">
        <v>17</v>
      </c>
      <c r="B57" s="1">
        <v>43180</v>
      </c>
      <c r="C57" t="s">
        <v>18</v>
      </c>
      <c r="D57" t="str">
        <f>CONCATENATE("0060021122","")</f>
        <v>0060021122</v>
      </c>
      <c r="E57" t="str">
        <f>CONCATENATE("0010803000320       ","")</f>
        <v>0010803000320       </v>
      </c>
      <c r="F57" t="str">
        <f>CONCATENATE("607305618","")</f>
        <v>607305618</v>
      </c>
      <c r="G57" t="s">
        <v>136</v>
      </c>
      <c r="H57" t="s">
        <v>137</v>
      </c>
      <c r="I57" t="s">
        <v>138</v>
      </c>
      <c r="J57" t="str">
        <f>CONCATENATE("080107","")</f>
        <v>080107</v>
      </c>
      <c r="K57" t="s">
        <v>22</v>
      </c>
      <c r="L57" t="s">
        <v>23</v>
      </c>
      <c r="M57" t="str">
        <f t="shared" si="8"/>
        <v>1</v>
      </c>
      <c r="N57" t="str">
        <f>CONCATENATE("958841330","")</f>
        <v>958841330</v>
      </c>
      <c r="O57" t="str">
        <f t="shared" si="1"/>
        <v>1 </v>
      </c>
      <c r="P57">
        <v>102.6</v>
      </c>
      <c r="Q57" t="s">
        <v>27</v>
      </c>
    </row>
    <row r="58" spans="1:17" ht="15">
      <c r="A58" t="s">
        <v>17</v>
      </c>
      <c r="B58" s="1">
        <v>43180</v>
      </c>
      <c r="C58" t="s">
        <v>18</v>
      </c>
      <c r="D58" t="str">
        <f>CONCATENATE("0060008282","")</f>
        <v>0060008282</v>
      </c>
      <c r="E58" t="str">
        <f>CONCATENATE("0010803000400       ","")</f>
        <v>0010803000400       </v>
      </c>
      <c r="F58" t="str">
        <f>CONCATENATE("605759972","")</f>
        <v>605759972</v>
      </c>
      <c r="G58" t="s">
        <v>139</v>
      </c>
      <c r="H58" t="s">
        <v>140</v>
      </c>
      <c r="I58" t="s">
        <v>141</v>
      </c>
      <c r="J58" t="str">
        <f>CONCATENATE("080107","")</f>
        <v>080107</v>
      </c>
      <c r="K58" t="s">
        <v>22</v>
      </c>
      <c r="L58" t="s">
        <v>23</v>
      </c>
      <c r="M58" t="str">
        <f t="shared" si="8"/>
        <v>1</v>
      </c>
      <c r="O58" t="str">
        <f t="shared" si="1"/>
        <v>1 </v>
      </c>
      <c r="P58">
        <v>51.55</v>
      </c>
      <c r="Q58" t="s">
        <v>27</v>
      </c>
    </row>
    <row r="59" spans="1:17" ht="15">
      <c r="A59" t="s">
        <v>17</v>
      </c>
      <c r="B59" s="1">
        <v>43180</v>
      </c>
      <c r="C59" t="s">
        <v>64</v>
      </c>
      <c r="D59" t="str">
        <f>CONCATENATE("0060019511","")</f>
        <v>0060019511</v>
      </c>
      <c r="E59" t="str">
        <f>CONCATENATE("0010803000585       ","")</f>
        <v>0010803000585       </v>
      </c>
      <c r="F59" t="str">
        <f>CONCATENATE("606758162","")</f>
        <v>606758162</v>
      </c>
      <c r="G59" t="s">
        <v>139</v>
      </c>
      <c r="H59" t="s">
        <v>142</v>
      </c>
      <c r="I59" t="s">
        <v>143</v>
      </c>
      <c r="J59" t="str">
        <f>CONCATENATE("081211","")</f>
        <v>081211</v>
      </c>
      <c r="K59" t="s">
        <v>22</v>
      </c>
      <c r="L59" t="s">
        <v>23</v>
      </c>
      <c r="M59" t="str">
        <f t="shared" si="8"/>
        <v>1</v>
      </c>
      <c r="O59" t="str">
        <f t="shared" si="1"/>
        <v>1 </v>
      </c>
      <c r="P59">
        <v>44.4</v>
      </c>
      <c r="Q59" t="s">
        <v>27</v>
      </c>
    </row>
    <row r="60" spans="1:17" ht="15">
      <c r="A60" t="s">
        <v>17</v>
      </c>
      <c r="B60" s="1">
        <v>43180</v>
      </c>
      <c r="C60" t="s">
        <v>18</v>
      </c>
      <c r="D60" t="str">
        <f>CONCATENATE("0060015465","")</f>
        <v>0060015465</v>
      </c>
      <c r="E60" t="str">
        <f>CONCATENATE("0010803000821       ","")</f>
        <v>0010803000821       </v>
      </c>
      <c r="F60" t="str">
        <f>CONCATENATE("605933116","")</f>
        <v>605933116</v>
      </c>
      <c r="G60" t="s">
        <v>133</v>
      </c>
      <c r="H60" t="s">
        <v>144</v>
      </c>
      <c r="I60" t="s">
        <v>145</v>
      </c>
      <c r="J60" t="str">
        <f aca="true" t="shared" si="9" ref="J60:J69">CONCATENATE("080107","")</f>
        <v>080107</v>
      </c>
      <c r="K60" t="s">
        <v>22</v>
      </c>
      <c r="L60" t="s">
        <v>23</v>
      </c>
      <c r="M60" t="str">
        <f t="shared" si="8"/>
        <v>1</v>
      </c>
      <c r="O60" t="str">
        <f t="shared" si="1"/>
        <v>1 </v>
      </c>
      <c r="P60">
        <v>30.6</v>
      </c>
      <c r="Q60" t="s">
        <v>27</v>
      </c>
    </row>
    <row r="61" spans="1:17" ht="15">
      <c r="A61" t="s">
        <v>17</v>
      </c>
      <c r="B61" s="1">
        <v>43180</v>
      </c>
      <c r="C61" t="s">
        <v>18</v>
      </c>
      <c r="D61" t="str">
        <f>CONCATENATE("0060014601","")</f>
        <v>0060014601</v>
      </c>
      <c r="E61" t="str">
        <f>CONCATENATE("0010804000025       ","")</f>
        <v>0010804000025       </v>
      </c>
      <c r="F61" t="str">
        <f>CONCATENATE("605942374","")</f>
        <v>605942374</v>
      </c>
      <c r="G61" t="s">
        <v>146</v>
      </c>
      <c r="H61" t="s">
        <v>147</v>
      </c>
      <c r="I61" t="s">
        <v>148</v>
      </c>
      <c r="J61" t="str">
        <f t="shared" si="9"/>
        <v>080107</v>
      </c>
      <c r="K61" t="s">
        <v>22</v>
      </c>
      <c r="L61" t="s">
        <v>23</v>
      </c>
      <c r="M61" t="str">
        <f t="shared" si="8"/>
        <v>1</v>
      </c>
      <c r="O61" t="str">
        <f t="shared" si="1"/>
        <v>1 </v>
      </c>
      <c r="P61">
        <v>33.65</v>
      </c>
      <c r="Q61" t="s">
        <v>27</v>
      </c>
    </row>
    <row r="62" spans="1:17" ht="15">
      <c r="A62" t="s">
        <v>17</v>
      </c>
      <c r="B62" s="1">
        <v>43180</v>
      </c>
      <c r="C62" t="s">
        <v>18</v>
      </c>
      <c r="D62" t="str">
        <f>CONCATENATE("0060000320","")</f>
        <v>0060000320</v>
      </c>
      <c r="E62" t="str">
        <f>CONCATENATE("0010804000150       ","")</f>
        <v>0010804000150       </v>
      </c>
      <c r="F62" t="str">
        <f>CONCATENATE("2014055232","")</f>
        <v>2014055232</v>
      </c>
      <c r="G62" t="s">
        <v>146</v>
      </c>
      <c r="H62" t="s">
        <v>149</v>
      </c>
      <c r="I62" t="s">
        <v>97</v>
      </c>
      <c r="J62" t="str">
        <f t="shared" si="9"/>
        <v>080107</v>
      </c>
      <c r="K62" t="s">
        <v>22</v>
      </c>
      <c r="L62" t="s">
        <v>23</v>
      </c>
      <c r="M62" t="str">
        <f t="shared" si="8"/>
        <v>1</v>
      </c>
      <c r="O62" t="str">
        <f t="shared" si="1"/>
        <v>1 </v>
      </c>
      <c r="P62">
        <v>74.55</v>
      </c>
      <c r="Q62" t="s">
        <v>27</v>
      </c>
    </row>
    <row r="63" spans="1:17" ht="15">
      <c r="A63" t="s">
        <v>17</v>
      </c>
      <c r="B63" s="1">
        <v>43180</v>
      </c>
      <c r="C63" t="s">
        <v>18</v>
      </c>
      <c r="D63" t="str">
        <f>CONCATENATE("0060013316","")</f>
        <v>0060013316</v>
      </c>
      <c r="E63" t="str">
        <f>CONCATENATE("0010804005020       ","")</f>
        <v>0010804005020       </v>
      </c>
      <c r="F63" t="str">
        <f>CONCATENATE("762470","")</f>
        <v>762470</v>
      </c>
      <c r="G63" t="s">
        <v>150</v>
      </c>
      <c r="H63" t="s">
        <v>151</v>
      </c>
      <c r="I63" t="s">
        <v>152</v>
      </c>
      <c r="J63" t="str">
        <f t="shared" si="9"/>
        <v>080107</v>
      </c>
      <c r="K63" t="s">
        <v>22</v>
      </c>
      <c r="L63" t="s">
        <v>23</v>
      </c>
      <c r="M63" t="str">
        <f t="shared" si="8"/>
        <v>1</v>
      </c>
      <c r="O63" t="str">
        <f t="shared" si="1"/>
        <v>1 </v>
      </c>
      <c r="P63">
        <v>26.15</v>
      </c>
      <c r="Q63" t="s">
        <v>27</v>
      </c>
    </row>
    <row r="64" spans="1:17" ht="15">
      <c r="A64" t="s">
        <v>17</v>
      </c>
      <c r="B64" s="1">
        <v>43180</v>
      </c>
      <c r="C64" t="s">
        <v>18</v>
      </c>
      <c r="D64" t="str">
        <f>CONCATENATE("0060025598","")</f>
        <v>0060025598</v>
      </c>
      <c r="E64" t="str">
        <f>CONCATENATE("0010805000382       ","")</f>
        <v>0010805000382       </v>
      </c>
      <c r="F64" t="str">
        <f>CONCATENATE("607638472","")</f>
        <v>607638472</v>
      </c>
      <c r="G64" t="s">
        <v>153</v>
      </c>
      <c r="H64" t="s">
        <v>154</v>
      </c>
      <c r="I64" t="s">
        <v>155</v>
      </c>
      <c r="J64" t="str">
        <f t="shared" si="9"/>
        <v>080107</v>
      </c>
      <c r="K64" t="s">
        <v>22</v>
      </c>
      <c r="L64" t="s">
        <v>23</v>
      </c>
      <c r="M64" t="str">
        <f>CONCATENATE("3","")</f>
        <v>3</v>
      </c>
      <c r="N64" t="str">
        <f>CONCATENATE("958732979","")</f>
        <v>958732979</v>
      </c>
      <c r="O64" t="str">
        <f t="shared" si="1"/>
        <v>1 </v>
      </c>
      <c r="P64">
        <v>91.35</v>
      </c>
      <c r="Q64" t="s">
        <v>24</v>
      </c>
    </row>
    <row r="65" spans="1:17" ht="15">
      <c r="A65" t="s">
        <v>17</v>
      </c>
      <c r="B65" s="1">
        <v>43180</v>
      </c>
      <c r="C65" t="s">
        <v>18</v>
      </c>
      <c r="D65" t="str">
        <f>CONCATENATE("0060010231","")</f>
        <v>0060010231</v>
      </c>
      <c r="E65" t="str">
        <f>CONCATENATE("0010805000860       ","")</f>
        <v>0010805000860       </v>
      </c>
      <c r="F65" t="str">
        <f>CONCATENATE("1861497","")</f>
        <v>1861497</v>
      </c>
      <c r="G65" t="s">
        <v>153</v>
      </c>
      <c r="H65" t="s">
        <v>156</v>
      </c>
      <c r="I65" t="s">
        <v>157</v>
      </c>
      <c r="J65" t="str">
        <f t="shared" si="9"/>
        <v>080107</v>
      </c>
      <c r="K65" t="s">
        <v>22</v>
      </c>
      <c r="L65" t="s">
        <v>23</v>
      </c>
      <c r="M65" t="str">
        <f aca="true" t="shared" si="10" ref="M65:M71">CONCATENATE("1","")</f>
        <v>1</v>
      </c>
      <c r="O65" t="str">
        <f t="shared" si="1"/>
        <v>1 </v>
      </c>
      <c r="P65">
        <v>13.3</v>
      </c>
      <c r="Q65" t="s">
        <v>27</v>
      </c>
    </row>
    <row r="66" spans="1:17" ht="15">
      <c r="A66" t="s">
        <v>17</v>
      </c>
      <c r="B66" s="1">
        <v>43180</v>
      </c>
      <c r="C66" t="s">
        <v>18</v>
      </c>
      <c r="D66" t="str">
        <f>CONCATENATE("0060010218","")</f>
        <v>0060010218</v>
      </c>
      <c r="E66" t="str">
        <f>CONCATENATE("0010805001000       ","")</f>
        <v>0010805001000       </v>
      </c>
      <c r="F66" t="str">
        <f>CONCATENATE("607546550","")</f>
        <v>607546550</v>
      </c>
      <c r="G66" t="s">
        <v>153</v>
      </c>
      <c r="H66" t="s">
        <v>158</v>
      </c>
      <c r="I66" t="s">
        <v>157</v>
      </c>
      <c r="J66" t="str">
        <f t="shared" si="9"/>
        <v>080107</v>
      </c>
      <c r="K66" t="s">
        <v>22</v>
      </c>
      <c r="L66" t="s">
        <v>23</v>
      </c>
      <c r="M66" t="str">
        <f t="shared" si="10"/>
        <v>1</v>
      </c>
      <c r="O66" t="str">
        <f aca="true" t="shared" si="11" ref="O66:O129">CONCATENATE("1 ","")</f>
        <v>1 </v>
      </c>
      <c r="P66">
        <v>57.5</v>
      </c>
      <c r="Q66" t="s">
        <v>27</v>
      </c>
    </row>
    <row r="67" spans="1:17" ht="15">
      <c r="A67" t="s">
        <v>17</v>
      </c>
      <c r="B67" s="1">
        <v>43180</v>
      </c>
      <c r="C67" t="s">
        <v>18</v>
      </c>
      <c r="D67" t="str">
        <f>CONCATENATE("0060022119","")</f>
        <v>0060022119</v>
      </c>
      <c r="E67" t="str">
        <f>CONCATENATE("0010805001012       ","")</f>
        <v>0010805001012       </v>
      </c>
      <c r="F67" t="str">
        <f>CONCATENATE("607543502","")</f>
        <v>607543502</v>
      </c>
      <c r="G67" t="s">
        <v>153</v>
      </c>
      <c r="H67" t="s">
        <v>159</v>
      </c>
      <c r="I67" t="s">
        <v>160</v>
      </c>
      <c r="J67" t="str">
        <f t="shared" si="9"/>
        <v>080107</v>
      </c>
      <c r="K67" t="s">
        <v>22</v>
      </c>
      <c r="L67" t="s">
        <v>23</v>
      </c>
      <c r="M67" t="str">
        <f t="shared" si="10"/>
        <v>1</v>
      </c>
      <c r="N67" t="str">
        <f>CONCATENATE("992754336","")</f>
        <v>992754336</v>
      </c>
      <c r="O67" t="str">
        <f t="shared" si="11"/>
        <v>1 </v>
      </c>
      <c r="P67">
        <v>58.25</v>
      </c>
      <c r="Q67" t="s">
        <v>27</v>
      </c>
    </row>
    <row r="68" spans="1:17" ht="15">
      <c r="A68" t="s">
        <v>17</v>
      </c>
      <c r="B68" s="1">
        <v>43180</v>
      </c>
      <c r="C68" t="s">
        <v>18</v>
      </c>
      <c r="D68" t="str">
        <f>CONCATENATE("0060010233","")</f>
        <v>0060010233</v>
      </c>
      <c r="E68" t="str">
        <f>CONCATENATE("0010805002190       ","")</f>
        <v>0010805002190       </v>
      </c>
      <c r="F68" t="str">
        <f>CONCATENATE("1861483","")</f>
        <v>1861483</v>
      </c>
      <c r="G68" t="s">
        <v>153</v>
      </c>
      <c r="H68" t="s">
        <v>161</v>
      </c>
      <c r="I68" t="s">
        <v>157</v>
      </c>
      <c r="J68" t="str">
        <f t="shared" si="9"/>
        <v>080107</v>
      </c>
      <c r="K68" t="s">
        <v>22</v>
      </c>
      <c r="L68" t="s">
        <v>23</v>
      </c>
      <c r="M68" t="str">
        <f t="shared" si="10"/>
        <v>1</v>
      </c>
      <c r="O68" t="str">
        <f t="shared" si="11"/>
        <v>1 </v>
      </c>
      <c r="P68">
        <v>12.7</v>
      </c>
      <c r="Q68" t="s">
        <v>27</v>
      </c>
    </row>
    <row r="69" spans="1:17" ht="15">
      <c r="A69" t="s">
        <v>17</v>
      </c>
      <c r="B69" s="1">
        <v>43180</v>
      </c>
      <c r="C69" t="s">
        <v>18</v>
      </c>
      <c r="D69" t="str">
        <f>CONCATENATE("0060010195","")</f>
        <v>0060010195</v>
      </c>
      <c r="E69" t="str">
        <f>CONCATENATE("0010805002330       ","")</f>
        <v>0010805002330       </v>
      </c>
      <c r="F69" t="str">
        <f>CONCATENATE("607546546","")</f>
        <v>607546546</v>
      </c>
      <c r="G69" t="s">
        <v>153</v>
      </c>
      <c r="H69" t="s">
        <v>162</v>
      </c>
      <c r="I69" t="s">
        <v>163</v>
      </c>
      <c r="J69" t="str">
        <f t="shared" si="9"/>
        <v>080107</v>
      </c>
      <c r="K69" t="s">
        <v>22</v>
      </c>
      <c r="L69" t="s">
        <v>23</v>
      </c>
      <c r="M69" t="str">
        <f t="shared" si="10"/>
        <v>1</v>
      </c>
      <c r="O69" t="str">
        <f t="shared" si="11"/>
        <v>1 </v>
      </c>
      <c r="P69">
        <v>46.25</v>
      </c>
      <c r="Q69" t="s">
        <v>27</v>
      </c>
    </row>
    <row r="70" spans="1:17" ht="15">
      <c r="A70" t="s">
        <v>17</v>
      </c>
      <c r="B70" s="1">
        <v>43180</v>
      </c>
      <c r="C70" t="s">
        <v>64</v>
      </c>
      <c r="D70" t="str">
        <f>CONCATENATE("0060019003","")</f>
        <v>0060019003</v>
      </c>
      <c r="E70" t="str">
        <f>CONCATENATE("0010805002649       ","")</f>
        <v>0010805002649       </v>
      </c>
      <c r="F70" t="str">
        <f>CONCATENATE("606591141","")</f>
        <v>606591141</v>
      </c>
      <c r="G70" t="s">
        <v>164</v>
      </c>
      <c r="H70" t="s">
        <v>165</v>
      </c>
      <c r="I70" t="s">
        <v>166</v>
      </c>
      <c r="J70" t="str">
        <f>CONCATENATE("081211","")</f>
        <v>081211</v>
      </c>
      <c r="K70" t="s">
        <v>22</v>
      </c>
      <c r="L70" t="s">
        <v>23</v>
      </c>
      <c r="M70" t="str">
        <f t="shared" si="10"/>
        <v>1</v>
      </c>
      <c r="O70" t="str">
        <f t="shared" si="11"/>
        <v>1 </v>
      </c>
      <c r="P70">
        <v>93.93</v>
      </c>
      <c r="Q70" t="s">
        <v>27</v>
      </c>
    </row>
    <row r="71" spans="1:17" ht="15">
      <c r="A71" t="s">
        <v>17</v>
      </c>
      <c r="B71" s="1">
        <v>43180</v>
      </c>
      <c r="C71" t="s">
        <v>18</v>
      </c>
      <c r="D71" t="str">
        <f>CONCATENATE("0060016100","")</f>
        <v>0060016100</v>
      </c>
      <c r="E71" t="str">
        <f>CONCATENATE("0010805005105       ","")</f>
        <v>0010805005105       </v>
      </c>
      <c r="F71" t="str">
        <f>CONCATENATE("1867056","")</f>
        <v>1867056</v>
      </c>
      <c r="G71" t="s">
        <v>153</v>
      </c>
      <c r="H71" t="s">
        <v>167</v>
      </c>
      <c r="I71" t="s">
        <v>168</v>
      </c>
      <c r="J71" t="str">
        <f aca="true" t="shared" si="12" ref="J71:J76">CONCATENATE("080107","")</f>
        <v>080107</v>
      </c>
      <c r="K71" t="s">
        <v>22</v>
      </c>
      <c r="L71" t="s">
        <v>23</v>
      </c>
      <c r="M71" t="str">
        <f t="shared" si="10"/>
        <v>1</v>
      </c>
      <c r="O71" t="str">
        <f t="shared" si="11"/>
        <v>1 </v>
      </c>
      <c r="P71">
        <v>50.15</v>
      </c>
      <c r="Q71" t="s">
        <v>27</v>
      </c>
    </row>
    <row r="72" spans="1:17" ht="15">
      <c r="A72" t="s">
        <v>17</v>
      </c>
      <c r="B72" s="1">
        <v>43180</v>
      </c>
      <c r="C72" t="s">
        <v>18</v>
      </c>
      <c r="D72" t="str">
        <f>CONCATENATE("0060026106","")</f>
        <v>0060026106</v>
      </c>
      <c r="E72" t="str">
        <f>CONCATENATE("0010805005140       ","")</f>
        <v>0010805005140       </v>
      </c>
      <c r="F72" t="str">
        <f>CONCATENATE("607640352","")</f>
        <v>607640352</v>
      </c>
      <c r="G72" t="s">
        <v>153</v>
      </c>
      <c r="H72" t="s">
        <v>169</v>
      </c>
      <c r="I72" t="s">
        <v>170</v>
      </c>
      <c r="J72" t="str">
        <f t="shared" si="12"/>
        <v>080107</v>
      </c>
      <c r="K72" t="s">
        <v>22</v>
      </c>
      <c r="L72" t="s">
        <v>23</v>
      </c>
      <c r="M72" t="str">
        <f>CONCATENATE("3","")</f>
        <v>3</v>
      </c>
      <c r="N72" t="str">
        <f>CONCATENATE("996008528","")</f>
        <v>996008528</v>
      </c>
      <c r="O72" t="str">
        <f t="shared" si="11"/>
        <v>1 </v>
      </c>
      <c r="P72">
        <v>12.85</v>
      </c>
      <c r="Q72" t="s">
        <v>24</v>
      </c>
    </row>
    <row r="73" spans="1:17" ht="15">
      <c r="A73" t="s">
        <v>17</v>
      </c>
      <c r="B73" s="1">
        <v>43180</v>
      </c>
      <c r="C73" t="s">
        <v>18</v>
      </c>
      <c r="D73" t="str">
        <f>CONCATENATE("0060010200","")</f>
        <v>0060010200</v>
      </c>
      <c r="E73" t="str">
        <f>CONCATENATE("0010805005720       ","")</f>
        <v>0010805005720       </v>
      </c>
      <c r="F73" t="str">
        <f>CONCATENATE("559537","")</f>
        <v>559537</v>
      </c>
      <c r="G73" t="s">
        <v>164</v>
      </c>
      <c r="H73" t="s">
        <v>171</v>
      </c>
      <c r="I73" t="s">
        <v>157</v>
      </c>
      <c r="J73" t="str">
        <f t="shared" si="12"/>
        <v>080107</v>
      </c>
      <c r="K73" t="s">
        <v>22</v>
      </c>
      <c r="L73" t="s">
        <v>23</v>
      </c>
      <c r="M73" t="str">
        <f>CONCATENATE("3","")</f>
        <v>3</v>
      </c>
      <c r="O73" t="str">
        <f t="shared" si="11"/>
        <v>1 </v>
      </c>
      <c r="P73">
        <v>130.65</v>
      </c>
      <c r="Q73" t="s">
        <v>24</v>
      </c>
    </row>
    <row r="74" spans="1:17" ht="15">
      <c r="A74" t="s">
        <v>17</v>
      </c>
      <c r="B74" s="1">
        <v>43180</v>
      </c>
      <c r="C74" t="s">
        <v>18</v>
      </c>
      <c r="D74" t="str">
        <f>CONCATENATE("0060013332","")</f>
        <v>0060013332</v>
      </c>
      <c r="E74" t="str">
        <f>CONCATENATE("0010805006010       ","")</f>
        <v>0010805006010       </v>
      </c>
      <c r="F74" t="str">
        <f>CONCATENATE("8079754","")</f>
        <v>8079754</v>
      </c>
      <c r="G74" t="s">
        <v>164</v>
      </c>
      <c r="H74" t="s">
        <v>172</v>
      </c>
      <c r="I74" t="s">
        <v>173</v>
      </c>
      <c r="J74" t="str">
        <f t="shared" si="12"/>
        <v>080107</v>
      </c>
      <c r="K74" t="s">
        <v>22</v>
      </c>
      <c r="L74" t="s">
        <v>23</v>
      </c>
      <c r="M74" t="str">
        <f>CONCATENATE("3","")</f>
        <v>3</v>
      </c>
      <c r="O74" t="str">
        <f t="shared" si="11"/>
        <v>1 </v>
      </c>
      <c r="P74">
        <v>333.45</v>
      </c>
      <c r="Q74" t="s">
        <v>24</v>
      </c>
    </row>
    <row r="75" spans="1:17" ht="15">
      <c r="A75" t="s">
        <v>17</v>
      </c>
      <c r="B75" s="1">
        <v>43180</v>
      </c>
      <c r="C75" t="s">
        <v>18</v>
      </c>
      <c r="D75" t="str">
        <f>CONCATENATE("0060021660","")</f>
        <v>0060021660</v>
      </c>
      <c r="E75" t="str">
        <f>CONCATENATE("0010805006052       ","")</f>
        <v>0010805006052       </v>
      </c>
      <c r="F75" t="str">
        <f>CONCATENATE("607537683","")</f>
        <v>607537683</v>
      </c>
      <c r="G75" t="s">
        <v>153</v>
      </c>
      <c r="H75" t="s">
        <v>174</v>
      </c>
      <c r="I75" t="s">
        <v>175</v>
      </c>
      <c r="J75" t="str">
        <f t="shared" si="12"/>
        <v>080107</v>
      </c>
      <c r="K75" t="s">
        <v>22</v>
      </c>
      <c r="L75" t="s">
        <v>23</v>
      </c>
      <c r="M75" t="str">
        <f aca="true" t="shared" si="13" ref="M75:M97">CONCATENATE("1","")</f>
        <v>1</v>
      </c>
      <c r="N75" t="str">
        <f>CONCATENATE("989459111","")</f>
        <v>989459111</v>
      </c>
      <c r="O75" t="str">
        <f t="shared" si="11"/>
        <v>1 </v>
      </c>
      <c r="P75">
        <v>78.1</v>
      </c>
      <c r="Q75" t="s">
        <v>27</v>
      </c>
    </row>
    <row r="76" spans="1:17" ht="15">
      <c r="A76" t="s">
        <v>17</v>
      </c>
      <c r="B76" s="1">
        <v>43180</v>
      </c>
      <c r="C76" t="s">
        <v>18</v>
      </c>
      <c r="D76" t="str">
        <f>CONCATENATE("0060021914","")</f>
        <v>0060021914</v>
      </c>
      <c r="E76" t="str">
        <f>CONCATENATE("0010805006053       ","")</f>
        <v>0010805006053       </v>
      </c>
      <c r="F76" t="str">
        <f>CONCATENATE("607301470","")</f>
        <v>607301470</v>
      </c>
      <c r="G76" t="s">
        <v>153</v>
      </c>
      <c r="H76" t="s">
        <v>176</v>
      </c>
      <c r="I76" t="s">
        <v>177</v>
      </c>
      <c r="J76" t="str">
        <f t="shared" si="12"/>
        <v>080107</v>
      </c>
      <c r="K76" t="s">
        <v>22</v>
      </c>
      <c r="L76" t="s">
        <v>23</v>
      </c>
      <c r="M76" t="str">
        <f t="shared" si="13"/>
        <v>1</v>
      </c>
      <c r="N76" t="str">
        <f>CONCATENATE("950889797","")</f>
        <v>950889797</v>
      </c>
      <c r="O76" t="str">
        <f t="shared" si="11"/>
        <v>1 </v>
      </c>
      <c r="P76">
        <v>11.75</v>
      </c>
      <c r="Q76" t="s">
        <v>27</v>
      </c>
    </row>
    <row r="77" spans="1:17" ht="15">
      <c r="A77" t="s">
        <v>17</v>
      </c>
      <c r="B77" s="1">
        <v>43180</v>
      </c>
      <c r="C77" t="s">
        <v>102</v>
      </c>
      <c r="D77" t="str">
        <f>CONCATENATE("0060010354","")</f>
        <v>0060010354</v>
      </c>
      <c r="E77" t="str">
        <f>CONCATENATE("0010806000080       ","")</f>
        <v>0010806000080       </v>
      </c>
      <c r="F77" t="str">
        <f>CONCATENATE("1867716","")</f>
        <v>1867716</v>
      </c>
      <c r="G77" t="s">
        <v>178</v>
      </c>
      <c r="H77" t="s">
        <v>179</v>
      </c>
      <c r="I77" t="s">
        <v>180</v>
      </c>
      <c r="J77" t="str">
        <f>CONCATENATE("080104","")</f>
        <v>080104</v>
      </c>
      <c r="K77" t="s">
        <v>22</v>
      </c>
      <c r="L77" t="s">
        <v>23</v>
      </c>
      <c r="M77" t="str">
        <f t="shared" si="13"/>
        <v>1</v>
      </c>
      <c r="O77" t="str">
        <f t="shared" si="11"/>
        <v>1 </v>
      </c>
      <c r="P77">
        <v>56.55</v>
      </c>
      <c r="Q77" t="s">
        <v>27</v>
      </c>
    </row>
    <row r="78" spans="1:17" ht="15">
      <c r="A78" t="s">
        <v>17</v>
      </c>
      <c r="B78" s="1">
        <v>43180</v>
      </c>
      <c r="C78" t="s">
        <v>18</v>
      </c>
      <c r="D78" t="str">
        <f>CONCATENATE("0060025733","")</f>
        <v>0060025733</v>
      </c>
      <c r="E78" t="str">
        <f>CONCATENATE("0010806000305       ","")</f>
        <v>0010806000305       </v>
      </c>
      <c r="F78" t="str">
        <f>CONCATENATE("607646827","")</f>
        <v>607646827</v>
      </c>
      <c r="G78" t="s">
        <v>178</v>
      </c>
      <c r="H78" t="s">
        <v>181</v>
      </c>
      <c r="I78" t="s">
        <v>182</v>
      </c>
      <c r="J78" t="str">
        <f>CONCATENATE("080107","")</f>
        <v>080107</v>
      </c>
      <c r="K78" t="s">
        <v>22</v>
      </c>
      <c r="L78" t="s">
        <v>23</v>
      </c>
      <c r="M78" t="str">
        <f t="shared" si="13"/>
        <v>1</v>
      </c>
      <c r="N78" t="str">
        <f>CONCATENATE("985393940","")</f>
        <v>985393940</v>
      </c>
      <c r="O78" t="str">
        <f t="shared" si="11"/>
        <v>1 </v>
      </c>
      <c r="P78">
        <v>32.3</v>
      </c>
      <c r="Q78" t="s">
        <v>27</v>
      </c>
    </row>
    <row r="79" spans="1:17" ht="15">
      <c r="A79" t="s">
        <v>17</v>
      </c>
      <c r="B79" s="1">
        <v>43180</v>
      </c>
      <c r="C79" t="s">
        <v>102</v>
      </c>
      <c r="D79" t="str">
        <f>CONCATENATE("0060010374","")</f>
        <v>0060010374</v>
      </c>
      <c r="E79" t="str">
        <f>CONCATENATE("0010806000350       ","")</f>
        <v>0010806000350       </v>
      </c>
      <c r="F79" t="str">
        <f>CONCATENATE("1867715","")</f>
        <v>1867715</v>
      </c>
      <c r="G79" t="s">
        <v>178</v>
      </c>
      <c r="H79" t="s">
        <v>183</v>
      </c>
      <c r="I79" t="s">
        <v>184</v>
      </c>
      <c r="J79" t="str">
        <f>CONCATENATE("080104","")</f>
        <v>080104</v>
      </c>
      <c r="K79" t="s">
        <v>22</v>
      </c>
      <c r="L79" t="s">
        <v>23</v>
      </c>
      <c r="M79" t="str">
        <f t="shared" si="13"/>
        <v>1</v>
      </c>
      <c r="O79" t="str">
        <f t="shared" si="11"/>
        <v>1 </v>
      </c>
      <c r="P79">
        <v>10.75</v>
      </c>
      <c r="Q79" t="s">
        <v>27</v>
      </c>
    </row>
    <row r="80" spans="1:17" ht="15">
      <c r="A80" t="s">
        <v>17</v>
      </c>
      <c r="B80" s="1">
        <v>43180</v>
      </c>
      <c r="C80" t="s">
        <v>64</v>
      </c>
      <c r="D80" t="str">
        <f>CONCATENATE("0060020145","")</f>
        <v>0060020145</v>
      </c>
      <c r="E80" t="str">
        <f>CONCATENATE("0010806001145       ","")</f>
        <v>0010806001145       </v>
      </c>
      <c r="F80" t="str">
        <f>CONCATENATE("606853740","")</f>
        <v>606853740</v>
      </c>
      <c r="G80" t="s">
        <v>178</v>
      </c>
      <c r="H80" t="s">
        <v>185</v>
      </c>
      <c r="I80" t="s">
        <v>186</v>
      </c>
      <c r="J80" t="str">
        <f>CONCATENATE("081211","")</f>
        <v>081211</v>
      </c>
      <c r="K80" t="s">
        <v>22</v>
      </c>
      <c r="L80" t="s">
        <v>23</v>
      </c>
      <c r="M80" t="str">
        <f t="shared" si="13"/>
        <v>1</v>
      </c>
      <c r="O80" t="str">
        <f t="shared" si="11"/>
        <v>1 </v>
      </c>
      <c r="P80">
        <v>169.85</v>
      </c>
      <c r="Q80" t="s">
        <v>27</v>
      </c>
    </row>
    <row r="81" spans="1:17" ht="15">
      <c r="A81" t="s">
        <v>17</v>
      </c>
      <c r="B81" s="1">
        <v>43180</v>
      </c>
      <c r="C81" t="s">
        <v>102</v>
      </c>
      <c r="D81" t="str">
        <f>CONCATENATE("0060016466","")</f>
        <v>0060016466</v>
      </c>
      <c r="E81" t="str">
        <f>CONCATENATE("0010806001160       ","")</f>
        <v>0010806001160       </v>
      </c>
      <c r="F81" t="str">
        <f>CONCATENATE("01781198","")</f>
        <v>01781198</v>
      </c>
      <c r="G81" t="s">
        <v>178</v>
      </c>
      <c r="H81" t="s">
        <v>187</v>
      </c>
      <c r="I81" t="s">
        <v>188</v>
      </c>
      <c r="J81" t="str">
        <f>CONCATENATE("080104","")</f>
        <v>080104</v>
      </c>
      <c r="K81" t="s">
        <v>22</v>
      </c>
      <c r="L81" t="s">
        <v>23</v>
      </c>
      <c r="M81" t="str">
        <f t="shared" si="13"/>
        <v>1</v>
      </c>
      <c r="O81" t="str">
        <f t="shared" si="11"/>
        <v>1 </v>
      </c>
      <c r="P81">
        <v>42.2</v>
      </c>
      <c r="Q81" t="s">
        <v>27</v>
      </c>
    </row>
    <row r="82" spans="1:17" ht="15">
      <c r="A82" t="s">
        <v>17</v>
      </c>
      <c r="B82" s="1">
        <v>43180</v>
      </c>
      <c r="C82" t="s">
        <v>18</v>
      </c>
      <c r="D82" t="str">
        <f>CONCATENATE("0060021788","")</f>
        <v>0060021788</v>
      </c>
      <c r="E82" t="str">
        <f>CONCATENATE("0010807000023       ","")</f>
        <v>0010807000023       </v>
      </c>
      <c r="F82" t="str">
        <f>CONCATENATE("607297224","")</f>
        <v>607297224</v>
      </c>
      <c r="G82" t="s">
        <v>189</v>
      </c>
      <c r="H82" t="s">
        <v>190</v>
      </c>
      <c r="I82" t="s">
        <v>191</v>
      </c>
      <c r="J82" t="str">
        <f aca="true" t="shared" si="14" ref="J82:J92">CONCATENATE("080107","")</f>
        <v>080107</v>
      </c>
      <c r="K82" t="s">
        <v>22</v>
      </c>
      <c r="L82" t="s">
        <v>23</v>
      </c>
      <c r="M82" t="str">
        <f t="shared" si="13"/>
        <v>1</v>
      </c>
      <c r="N82" t="str">
        <f>CONCATENATE("954170532","")</f>
        <v>954170532</v>
      </c>
      <c r="O82" t="str">
        <f t="shared" si="11"/>
        <v>1 </v>
      </c>
      <c r="P82">
        <v>36.15</v>
      </c>
      <c r="Q82" t="s">
        <v>27</v>
      </c>
    </row>
    <row r="83" spans="1:17" ht="15">
      <c r="A83" t="s">
        <v>17</v>
      </c>
      <c r="B83" s="1">
        <v>43180</v>
      </c>
      <c r="C83" t="s">
        <v>18</v>
      </c>
      <c r="D83" t="str">
        <f>CONCATENATE("0060015347","")</f>
        <v>0060015347</v>
      </c>
      <c r="E83" t="str">
        <f>CONCATENATE("0010807000184       ","")</f>
        <v>0010807000184       </v>
      </c>
      <c r="F83" t="str">
        <f>CONCATENATE("605879575","")</f>
        <v>605879575</v>
      </c>
      <c r="G83" t="s">
        <v>189</v>
      </c>
      <c r="H83" t="s">
        <v>192</v>
      </c>
      <c r="I83" t="s">
        <v>193</v>
      </c>
      <c r="J83" t="str">
        <f t="shared" si="14"/>
        <v>080107</v>
      </c>
      <c r="K83" t="s">
        <v>22</v>
      </c>
      <c r="L83" t="s">
        <v>23</v>
      </c>
      <c r="M83" t="str">
        <f t="shared" si="13"/>
        <v>1</v>
      </c>
      <c r="O83" t="str">
        <f t="shared" si="11"/>
        <v>1 </v>
      </c>
      <c r="P83">
        <v>51</v>
      </c>
      <c r="Q83" t="s">
        <v>27</v>
      </c>
    </row>
    <row r="84" spans="1:17" ht="15">
      <c r="A84" t="s">
        <v>17</v>
      </c>
      <c r="B84" s="1">
        <v>43180</v>
      </c>
      <c r="C84" t="s">
        <v>18</v>
      </c>
      <c r="D84" t="str">
        <f>CONCATENATE("0060015255","")</f>
        <v>0060015255</v>
      </c>
      <c r="E84" t="str">
        <f>CONCATENATE("0010807000340       ","")</f>
        <v>0010807000340       </v>
      </c>
      <c r="F84" t="str">
        <f>CONCATENATE("607655587","")</f>
        <v>607655587</v>
      </c>
      <c r="G84" t="s">
        <v>189</v>
      </c>
      <c r="H84" t="s">
        <v>194</v>
      </c>
      <c r="I84" t="s">
        <v>193</v>
      </c>
      <c r="J84" t="str">
        <f t="shared" si="14"/>
        <v>080107</v>
      </c>
      <c r="K84" t="s">
        <v>22</v>
      </c>
      <c r="L84" t="s">
        <v>23</v>
      </c>
      <c r="M84" t="str">
        <f t="shared" si="13"/>
        <v>1</v>
      </c>
      <c r="O84" t="str">
        <f t="shared" si="11"/>
        <v>1 </v>
      </c>
      <c r="P84">
        <v>29.2</v>
      </c>
      <c r="Q84" t="s">
        <v>27</v>
      </c>
    </row>
    <row r="85" spans="1:17" ht="15">
      <c r="A85" t="s">
        <v>17</v>
      </c>
      <c r="B85" s="1">
        <v>43180</v>
      </c>
      <c r="C85" t="s">
        <v>18</v>
      </c>
      <c r="D85" t="str">
        <f>CONCATENATE("0060018699","")</f>
        <v>0060018699</v>
      </c>
      <c r="E85" t="str">
        <f>CONCATENATE("0010808000160       ","")</f>
        <v>0010808000160       </v>
      </c>
      <c r="F85" t="str">
        <f>CONCATENATE("8244366","")</f>
        <v>8244366</v>
      </c>
      <c r="G85" t="s">
        <v>139</v>
      </c>
      <c r="H85" t="s">
        <v>195</v>
      </c>
      <c r="I85" t="s">
        <v>196</v>
      </c>
      <c r="J85" t="str">
        <f t="shared" si="14"/>
        <v>080107</v>
      </c>
      <c r="K85" t="s">
        <v>22</v>
      </c>
      <c r="L85" t="s">
        <v>23</v>
      </c>
      <c r="M85" t="str">
        <f t="shared" si="13"/>
        <v>1</v>
      </c>
      <c r="O85" t="str">
        <f t="shared" si="11"/>
        <v>1 </v>
      </c>
      <c r="P85">
        <v>46.2</v>
      </c>
      <c r="Q85" t="s">
        <v>27</v>
      </c>
    </row>
    <row r="86" spans="1:17" ht="15">
      <c r="A86" t="s">
        <v>17</v>
      </c>
      <c r="B86" s="1">
        <v>43180</v>
      </c>
      <c r="C86" t="s">
        <v>18</v>
      </c>
      <c r="D86" t="str">
        <f>CONCATENATE("0060018701","")</f>
        <v>0060018701</v>
      </c>
      <c r="E86" t="str">
        <f>CONCATENATE("0010808000180       ","")</f>
        <v>0010808000180       </v>
      </c>
      <c r="F86" t="str">
        <f>CONCATENATE("8245210","")</f>
        <v>8245210</v>
      </c>
      <c r="G86" t="s">
        <v>139</v>
      </c>
      <c r="H86" t="s">
        <v>197</v>
      </c>
      <c r="I86" t="s">
        <v>196</v>
      </c>
      <c r="J86" t="str">
        <f t="shared" si="14"/>
        <v>080107</v>
      </c>
      <c r="K86" t="s">
        <v>22</v>
      </c>
      <c r="L86" t="s">
        <v>23</v>
      </c>
      <c r="M86" t="str">
        <f t="shared" si="13"/>
        <v>1</v>
      </c>
      <c r="O86" t="str">
        <f t="shared" si="11"/>
        <v>1 </v>
      </c>
      <c r="P86">
        <v>41.1</v>
      </c>
      <c r="Q86" t="s">
        <v>27</v>
      </c>
    </row>
    <row r="87" spans="1:17" ht="15">
      <c r="A87" t="s">
        <v>17</v>
      </c>
      <c r="B87" s="1">
        <v>43180</v>
      </c>
      <c r="C87" t="s">
        <v>18</v>
      </c>
      <c r="D87" t="str">
        <f>CONCATENATE("0060021742","")</f>
        <v>0060021742</v>
      </c>
      <c r="E87" t="str">
        <f>CONCATENATE("0010808000432       ","")</f>
        <v>0010808000432       </v>
      </c>
      <c r="F87" t="str">
        <f>CONCATENATE("607295167","")</f>
        <v>607295167</v>
      </c>
      <c r="G87" t="s">
        <v>139</v>
      </c>
      <c r="H87" t="s">
        <v>198</v>
      </c>
      <c r="I87" t="s">
        <v>199</v>
      </c>
      <c r="J87" t="str">
        <f t="shared" si="14"/>
        <v>080107</v>
      </c>
      <c r="K87" t="s">
        <v>22</v>
      </c>
      <c r="L87" t="s">
        <v>23</v>
      </c>
      <c r="M87" t="str">
        <f t="shared" si="13"/>
        <v>1</v>
      </c>
      <c r="N87" t="str">
        <f>CONCATENATE("984699107","")</f>
        <v>984699107</v>
      </c>
      <c r="O87" t="str">
        <f t="shared" si="11"/>
        <v>1 </v>
      </c>
      <c r="P87">
        <v>20.3</v>
      </c>
      <c r="Q87" t="s">
        <v>27</v>
      </c>
    </row>
    <row r="88" spans="1:17" ht="15">
      <c r="A88" t="s">
        <v>17</v>
      </c>
      <c r="B88" s="1">
        <v>43180</v>
      </c>
      <c r="C88" t="s">
        <v>18</v>
      </c>
      <c r="D88" t="str">
        <f>CONCATENATE("0060018708","")</f>
        <v>0060018708</v>
      </c>
      <c r="E88" t="str">
        <f>CONCATENATE("0010808000510       ","")</f>
        <v>0010808000510       </v>
      </c>
      <c r="F88" t="str">
        <f>CONCATENATE("8245235","")</f>
        <v>8245235</v>
      </c>
      <c r="G88" t="s">
        <v>139</v>
      </c>
      <c r="H88" t="s">
        <v>200</v>
      </c>
      <c r="I88" t="s">
        <v>201</v>
      </c>
      <c r="J88" t="str">
        <f t="shared" si="14"/>
        <v>080107</v>
      </c>
      <c r="K88" t="s">
        <v>22</v>
      </c>
      <c r="L88" t="s">
        <v>23</v>
      </c>
      <c r="M88" t="str">
        <f t="shared" si="13"/>
        <v>1</v>
      </c>
      <c r="O88" t="str">
        <f t="shared" si="11"/>
        <v>1 </v>
      </c>
      <c r="P88">
        <v>20.5</v>
      </c>
      <c r="Q88" t="s">
        <v>27</v>
      </c>
    </row>
    <row r="89" spans="1:17" ht="15">
      <c r="A89" t="s">
        <v>17</v>
      </c>
      <c r="B89" s="1">
        <v>43180</v>
      </c>
      <c r="C89" t="s">
        <v>18</v>
      </c>
      <c r="D89" t="str">
        <f>CONCATENATE("0060018645","")</f>
        <v>0060018645</v>
      </c>
      <c r="E89" t="str">
        <f>CONCATENATE("0010808000740       ","")</f>
        <v>0010808000740       </v>
      </c>
      <c r="F89" t="str">
        <f>CONCATENATE("8244321","")</f>
        <v>8244321</v>
      </c>
      <c r="G89" t="s">
        <v>139</v>
      </c>
      <c r="H89" t="s">
        <v>202</v>
      </c>
      <c r="I89" t="s">
        <v>203</v>
      </c>
      <c r="J89" t="str">
        <f t="shared" si="14"/>
        <v>080107</v>
      </c>
      <c r="K89" t="s">
        <v>22</v>
      </c>
      <c r="L89" t="s">
        <v>23</v>
      </c>
      <c r="M89" t="str">
        <f t="shared" si="13"/>
        <v>1</v>
      </c>
      <c r="O89" t="str">
        <f t="shared" si="11"/>
        <v>1 </v>
      </c>
      <c r="P89">
        <v>11.3</v>
      </c>
      <c r="Q89" t="s">
        <v>27</v>
      </c>
    </row>
    <row r="90" spans="1:17" ht="15">
      <c r="A90" t="s">
        <v>17</v>
      </c>
      <c r="B90" s="1">
        <v>43180</v>
      </c>
      <c r="C90" t="s">
        <v>18</v>
      </c>
      <c r="D90" t="str">
        <f>CONCATENATE("0060018642","")</f>
        <v>0060018642</v>
      </c>
      <c r="E90" t="str">
        <f>CONCATENATE("0010808000760       ","")</f>
        <v>0010808000760       </v>
      </c>
      <c r="F90" t="str">
        <f>CONCATENATE("8244320","")</f>
        <v>8244320</v>
      </c>
      <c r="G90" t="s">
        <v>139</v>
      </c>
      <c r="H90" t="s">
        <v>204</v>
      </c>
      <c r="I90" t="s">
        <v>205</v>
      </c>
      <c r="J90" t="str">
        <f t="shared" si="14"/>
        <v>080107</v>
      </c>
      <c r="K90" t="s">
        <v>22</v>
      </c>
      <c r="L90" t="s">
        <v>23</v>
      </c>
      <c r="M90" t="str">
        <f t="shared" si="13"/>
        <v>1</v>
      </c>
      <c r="O90" t="str">
        <f t="shared" si="11"/>
        <v>1 </v>
      </c>
      <c r="P90">
        <v>42.25</v>
      </c>
      <c r="Q90" t="s">
        <v>27</v>
      </c>
    </row>
    <row r="91" spans="1:17" ht="15">
      <c r="A91" t="s">
        <v>17</v>
      </c>
      <c r="B91" s="1">
        <v>43180</v>
      </c>
      <c r="C91" t="s">
        <v>18</v>
      </c>
      <c r="D91" t="str">
        <f>CONCATENATE("0060018631","")</f>
        <v>0060018631</v>
      </c>
      <c r="E91" t="str">
        <f>CONCATENATE("0010808000870       ","")</f>
        <v>0010808000870       </v>
      </c>
      <c r="F91" t="str">
        <f>CONCATENATE("8244329","")</f>
        <v>8244329</v>
      </c>
      <c r="G91" t="s">
        <v>139</v>
      </c>
      <c r="H91" t="s">
        <v>206</v>
      </c>
      <c r="I91" t="s">
        <v>207</v>
      </c>
      <c r="J91" t="str">
        <f t="shared" si="14"/>
        <v>080107</v>
      </c>
      <c r="K91" t="s">
        <v>22</v>
      </c>
      <c r="L91" t="s">
        <v>23</v>
      </c>
      <c r="M91" t="str">
        <f t="shared" si="13"/>
        <v>1</v>
      </c>
      <c r="O91" t="str">
        <f t="shared" si="11"/>
        <v>1 </v>
      </c>
      <c r="P91">
        <v>11.85</v>
      </c>
      <c r="Q91" t="s">
        <v>27</v>
      </c>
    </row>
    <row r="92" spans="1:17" ht="15">
      <c r="A92" t="s">
        <v>17</v>
      </c>
      <c r="B92" s="1">
        <v>43180</v>
      </c>
      <c r="C92" t="s">
        <v>18</v>
      </c>
      <c r="D92" t="str">
        <f>CONCATENATE("0060018626","")</f>
        <v>0060018626</v>
      </c>
      <c r="E92" t="str">
        <f>CONCATENATE("0010808000920       ","")</f>
        <v>0010808000920       </v>
      </c>
      <c r="F92" t="str">
        <f>CONCATENATE("8244327","")</f>
        <v>8244327</v>
      </c>
      <c r="G92" t="s">
        <v>139</v>
      </c>
      <c r="H92" t="s">
        <v>208</v>
      </c>
      <c r="I92" t="s">
        <v>207</v>
      </c>
      <c r="J92" t="str">
        <f t="shared" si="14"/>
        <v>080107</v>
      </c>
      <c r="K92" t="s">
        <v>22</v>
      </c>
      <c r="L92" t="s">
        <v>23</v>
      </c>
      <c r="M92" t="str">
        <f t="shared" si="13"/>
        <v>1</v>
      </c>
      <c r="O92" t="str">
        <f t="shared" si="11"/>
        <v>1 </v>
      </c>
      <c r="P92">
        <v>19.1</v>
      </c>
      <c r="Q92" t="s">
        <v>27</v>
      </c>
    </row>
    <row r="93" spans="1:17" ht="15">
      <c r="A93" t="s">
        <v>17</v>
      </c>
      <c r="B93" s="1">
        <v>43180</v>
      </c>
      <c r="C93" t="s">
        <v>64</v>
      </c>
      <c r="D93" t="str">
        <f>CONCATENATE("0060019046","")</f>
        <v>0060019046</v>
      </c>
      <c r="E93" t="str">
        <f>CONCATENATE("0010810000640       ","")</f>
        <v>0010810000640       </v>
      </c>
      <c r="F93" t="str">
        <f>CONCATENATE("2014020973","")</f>
        <v>2014020973</v>
      </c>
      <c r="G93" t="s">
        <v>209</v>
      </c>
      <c r="H93" t="s">
        <v>210</v>
      </c>
      <c r="I93" t="s">
        <v>211</v>
      </c>
      <c r="J93" t="str">
        <f>CONCATENATE("081211","")</f>
        <v>081211</v>
      </c>
      <c r="K93" t="s">
        <v>22</v>
      </c>
      <c r="L93" t="s">
        <v>23</v>
      </c>
      <c r="M93" t="str">
        <f t="shared" si="13"/>
        <v>1</v>
      </c>
      <c r="O93" t="str">
        <f t="shared" si="11"/>
        <v>1 </v>
      </c>
      <c r="P93">
        <v>84.35</v>
      </c>
      <c r="Q93" t="s">
        <v>27</v>
      </c>
    </row>
    <row r="94" spans="1:17" ht="15">
      <c r="A94" t="s">
        <v>17</v>
      </c>
      <c r="B94" s="1">
        <v>43180</v>
      </c>
      <c r="C94" t="s">
        <v>18</v>
      </c>
      <c r="D94" t="str">
        <f>CONCATENATE("0060020076","")</f>
        <v>0060020076</v>
      </c>
      <c r="E94" t="str">
        <f>CONCATENATE("0010810000672       ","")</f>
        <v>0010810000672       </v>
      </c>
      <c r="F94" t="str">
        <f>CONCATENATE("606753133","")</f>
        <v>606753133</v>
      </c>
      <c r="G94" t="s">
        <v>209</v>
      </c>
      <c r="H94" t="s">
        <v>212</v>
      </c>
      <c r="I94" t="s">
        <v>213</v>
      </c>
      <c r="J94" t="str">
        <f aca="true" t="shared" si="15" ref="J94:J109">CONCATENATE("080107","")</f>
        <v>080107</v>
      </c>
      <c r="K94" t="s">
        <v>22</v>
      </c>
      <c r="L94" t="s">
        <v>23</v>
      </c>
      <c r="M94" t="str">
        <f t="shared" si="13"/>
        <v>1</v>
      </c>
      <c r="O94" t="str">
        <f t="shared" si="11"/>
        <v>1 </v>
      </c>
      <c r="P94">
        <v>66.45</v>
      </c>
      <c r="Q94" t="s">
        <v>27</v>
      </c>
    </row>
    <row r="95" spans="1:17" ht="15">
      <c r="A95" t="s">
        <v>17</v>
      </c>
      <c r="B95" s="1">
        <v>43180</v>
      </c>
      <c r="C95" t="s">
        <v>18</v>
      </c>
      <c r="D95" t="str">
        <f>CONCATENATE("0060020684","")</f>
        <v>0060020684</v>
      </c>
      <c r="E95" t="str">
        <f>CONCATENATE("0010811000130       ","")</f>
        <v>0010811000130       </v>
      </c>
      <c r="F95" t="str">
        <f>CONCATENATE("606901094","")</f>
        <v>606901094</v>
      </c>
      <c r="G95" t="s">
        <v>214</v>
      </c>
      <c r="H95" t="s">
        <v>215</v>
      </c>
      <c r="I95" t="s">
        <v>216</v>
      </c>
      <c r="J95" t="str">
        <f t="shared" si="15"/>
        <v>080107</v>
      </c>
      <c r="K95" t="s">
        <v>22</v>
      </c>
      <c r="L95" t="s">
        <v>23</v>
      </c>
      <c r="M95" t="str">
        <f t="shared" si="13"/>
        <v>1</v>
      </c>
      <c r="O95" t="str">
        <f t="shared" si="11"/>
        <v>1 </v>
      </c>
      <c r="P95">
        <v>28.55</v>
      </c>
      <c r="Q95" t="s">
        <v>27</v>
      </c>
    </row>
    <row r="96" spans="1:17" ht="15">
      <c r="A96" t="s">
        <v>17</v>
      </c>
      <c r="B96" s="1">
        <v>43180</v>
      </c>
      <c r="C96" t="s">
        <v>18</v>
      </c>
      <c r="D96" t="str">
        <f>CONCATENATE("0060020671","")</f>
        <v>0060020671</v>
      </c>
      <c r="E96" t="str">
        <f>CONCATENATE("0010811000490       ","")</f>
        <v>0010811000490       </v>
      </c>
      <c r="F96" t="str">
        <f>CONCATENATE("607445022","")</f>
        <v>607445022</v>
      </c>
      <c r="G96" t="s">
        <v>214</v>
      </c>
      <c r="H96" t="s">
        <v>217</v>
      </c>
      <c r="I96" t="s">
        <v>218</v>
      </c>
      <c r="J96" t="str">
        <f t="shared" si="15"/>
        <v>080107</v>
      </c>
      <c r="K96" t="s">
        <v>22</v>
      </c>
      <c r="L96" t="s">
        <v>23</v>
      </c>
      <c r="M96" t="str">
        <f t="shared" si="13"/>
        <v>1</v>
      </c>
      <c r="O96" t="str">
        <f t="shared" si="11"/>
        <v>1 </v>
      </c>
      <c r="P96">
        <v>22.4</v>
      </c>
      <c r="Q96" t="s">
        <v>27</v>
      </c>
    </row>
    <row r="97" spans="1:17" ht="15">
      <c r="A97" t="s">
        <v>17</v>
      </c>
      <c r="B97" s="1">
        <v>43180</v>
      </c>
      <c r="C97" t="s">
        <v>18</v>
      </c>
      <c r="D97" t="str">
        <f>CONCATENATE("0060020706","")</f>
        <v>0060020706</v>
      </c>
      <c r="E97" t="str">
        <f>CONCATENATE("0010811001180       ","")</f>
        <v>0010811001180       </v>
      </c>
      <c r="F97" t="str">
        <f>CONCATENATE("607445015","")</f>
        <v>607445015</v>
      </c>
      <c r="G97" t="s">
        <v>214</v>
      </c>
      <c r="H97" t="s">
        <v>219</v>
      </c>
      <c r="I97" t="s">
        <v>220</v>
      </c>
      <c r="J97" t="str">
        <f t="shared" si="15"/>
        <v>080107</v>
      </c>
      <c r="K97" t="s">
        <v>22</v>
      </c>
      <c r="L97" t="s">
        <v>23</v>
      </c>
      <c r="M97" t="str">
        <f t="shared" si="13"/>
        <v>1</v>
      </c>
      <c r="N97" t="str">
        <f>CONCATENATE("949996649","")</f>
        <v>949996649</v>
      </c>
      <c r="O97" t="str">
        <f t="shared" si="11"/>
        <v>1 </v>
      </c>
      <c r="P97">
        <v>11.7</v>
      </c>
      <c r="Q97" t="s">
        <v>27</v>
      </c>
    </row>
    <row r="98" spans="1:17" ht="15">
      <c r="A98" t="s">
        <v>17</v>
      </c>
      <c r="B98" s="1">
        <v>43180</v>
      </c>
      <c r="C98" t="s">
        <v>18</v>
      </c>
      <c r="D98" t="str">
        <f>CONCATENATE("0060020705","")</f>
        <v>0060020705</v>
      </c>
      <c r="E98" t="str">
        <f>CONCATENATE("0010811001190       ","")</f>
        <v>0010811001190       </v>
      </c>
      <c r="F98" t="str">
        <f>CONCATENATE("607429202","")</f>
        <v>607429202</v>
      </c>
      <c r="G98" t="s">
        <v>214</v>
      </c>
      <c r="H98" t="s">
        <v>221</v>
      </c>
      <c r="I98" t="s">
        <v>222</v>
      </c>
      <c r="J98" t="str">
        <f t="shared" si="15"/>
        <v>080107</v>
      </c>
      <c r="K98" t="s">
        <v>22</v>
      </c>
      <c r="L98" t="s">
        <v>23</v>
      </c>
      <c r="M98" t="str">
        <f>CONCATENATE("3","")</f>
        <v>3</v>
      </c>
      <c r="N98" t="str">
        <f>CONCATENATE("957773331","")</f>
        <v>957773331</v>
      </c>
      <c r="O98" t="str">
        <f t="shared" si="11"/>
        <v>1 </v>
      </c>
      <c r="P98">
        <v>57.75</v>
      </c>
      <c r="Q98" t="s">
        <v>24</v>
      </c>
    </row>
    <row r="99" spans="1:17" ht="15">
      <c r="A99" t="s">
        <v>17</v>
      </c>
      <c r="B99" s="1">
        <v>43180</v>
      </c>
      <c r="C99" t="s">
        <v>18</v>
      </c>
      <c r="D99" t="str">
        <f>CONCATENATE("0060025516","")</f>
        <v>0060025516</v>
      </c>
      <c r="E99" t="str">
        <f>CONCATENATE("0010811001860       ","")</f>
        <v>0010811001860       </v>
      </c>
      <c r="F99" t="str">
        <f>CONCATENATE("607660125","")</f>
        <v>607660125</v>
      </c>
      <c r="G99" t="s">
        <v>214</v>
      </c>
      <c r="H99" t="s">
        <v>223</v>
      </c>
      <c r="I99" t="s">
        <v>224</v>
      </c>
      <c r="J99" t="str">
        <f t="shared" si="15"/>
        <v>080107</v>
      </c>
      <c r="K99" t="s">
        <v>22</v>
      </c>
      <c r="L99" t="s">
        <v>23</v>
      </c>
      <c r="M99" t="str">
        <f aca="true" t="shared" si="16" ref="M99:M146">CONCATENATE("1","")</f>
        <v>1</v>
      </c>
      <c r="O99" t="str">
        <f t="shared" si="11"/>
        <v>1 </v>
      </c>
      <c r="P99">
        <v>120</v>
      </c>
      <c r="Q99" t="s">
        <v>27</v>
      </c>
    </row>
    <row r="100" spans="1:17" ht="15">
      <c r="A100" t="s">
        <v>17</v>
      </c>
      <c r="B100" s="1">
        <v>43180</v>
      </c>
      <c r="C100" t="s">
        <v>18</v>
      </c>
      <c r="D100" t="str">
        <f>CONCATENATE("0060025515","")</f>
        <v>0060025515</v>
      </c>
      <c r="E100" t="str">
        <f>CONCATENATE("0010811001861       ","")</f>
        <v>0010811001861       </v>
      </c>
      <c r="F100" t="str">
        <f>CONCATENATE("607660129","")</f>
        <v>607660129</v>
      </c>
      <c r="G100" t="s">
        <v>214</v>
      </c>
      <c r="H100" t="s">
        <v>223</v>
      </c>
      <c r="I100" t="s">
        <v>224</v>
      </c>
      <c r="J100" t="str">
        <f t="shared" si="15"/>
        <v>080107</v>
      </c>
      <c r="K100" t="s">
        <v>22</v>
      </c>
      <c r="L100" t="s">
        <v>23</v>
      </c>
      <c r="M100" t="str">
        <f t="shared" si="16"/>
        <v>1</v>
      </c>
      <c r="O100" t="str">
        <f t="shared" si="11"/>
        <v>1 </v>
      </c>
      <c r="P100">
        <v>11.85</v>
      </c>
      <c r="Q100" t="s">
        <v>27</v>
      </c>
    </row>
    <row r="101" spans="1:17" ht="15">
      <c r="A101" t="s">
        <v>17</v>
      </c>
      <c r="B101" s="1">
        <v>43180</v>
      </c>
      <c r="C101" t="s">
        <v>18</v>
      </c>
      <c r="D101" t="str">
        <f>CONCATENATE("0060023392","")</f>
        <v>0060023392</v>
      </c>
      <c r="E101" t="str">
        <f>CONCATENATE("0010815000080       ","")</f>
        <v>0010815000080       </v>
      </c>
      <c r="F101" t="str">
        <f>CONCATENATE("606906709","")</f>
        <v>606906709</v>
      </c>
      <c r="G101" t="s">
        <v>136</v>
      </c>
      <c r="H101" t="s">
        <v>225</v>
      </c>
      <c r="I101" t="s">
        <v>226</v>
      </c>
      <c r="J101" t="str">
        <f t="shared" si="15"/>
        <v>080107</v>
      </c>
      <c r="K101" t="s">
        <v>22</v>
      </c>
      <c r="L101" t="s">
        <v>23</v>
      </c>
      <c r="M101" t="str">
        <f t="shared" si="16"/>
        <v>1</v>
      </c>
      <c r="O101" t="str">
        <f t="shared" si="11"/>
        <v>1 </v>
      </c>
      <c r="P101">
        <v>19.15</v>
      </c>
      <c r="Q101" t="s">
        <v>27</v>
      </c>
    </row>
    <row r="102" spans="1:17" ht="15">
      <c r="A102" t="s">
        <v>17</v>
      </c>
      <c r="B102" s="1">
        <v>43180</v>
      </c>
      <c r="C102" t="s">
        <v>18</v>
      </c>
      <c r="D102" t="str">
        <f>CONCATENATE("0060023394","")</f>
        <v>0060023394</v>
      </c>
      <c r="E102" t="str">
        <f>CONCATENATE("0010815000100       ","")</f>
        <v>0010815000100       </v>
      </c>
      <c r="F102" t="str">
        <f>CONCATENATE("607539912","")</f>
        <v>607539912</v>
      </c>
      <c r="G102" t="s">
        <v>136</v>
      </c>
      <c r="H102" t="s">
        <v>227</v>
      </c>
      <c r="I102" t="s">
        <v>226</v>
      </c>
      <c r="J102" t="str">
        <f t="shared" si="15"/>
        <v>080107</v>
      </c>
      <c r="K102" t="s">
        <v>22</v>
      </c>
      <c r="L102" t="s">
        <v>23</v>
      </c>
      <c r="M102" t="str">
        <f t="shared" si="16"/>
        <v>1</v>
      </c>
      <c r="O102" t="str">
        <f t="shared" si="11"/>
        <v>1 </v>
      </c>
      <c r="P102">
        <v>28.2</v>
      </c>
      <c r="Q102" t="s">
        <v>27</v>
      </c>
    </row>
    <row r="103" spans="1:17" ht="15">
      <c r="A103" t="s">
        <v>17</v>
      </c>
      <c r="B103" s="1">
        <v>43180</v>
      </c>
      <c r="C103" t="s">
        <v>18</v>
      </c>
      <c r="D103" t="str">
        <f>CONCATENATE("0060023445","")</f>
        <v>0060023445</v>
      </c>
      <c r="E103" t="str">
        <f>CONCATENATE("0010815001995       ","")</f>
        <v>0010815001995       </v>
      </c>
      <c r="F103" t="str">
        <f>CONCATENATE("607548327","")</f>
        <v>607548327</v>
      </c>
      <c r="G103" t="s">
        <v>136</v>
      </c>
      <c r="H103" t="s">
        <v>228</v>
      </c>
      <c r="I103" t="s">
        <v>229</v>
      </c>
      <c r="J103" t="str">
        <f t="shared" si="15"/>
        <v>080107</v>
      </c>
      <c r="K103" t="s">
        <v>22</v>
      </c>
      <c r="L103" t="s">
        <v>23</v>
      </c>
      <c r="M103" t="str">
        <f t="shared" si="16"/>
        <v>1</v>
      </c>
      <c r="O103" t="str">
        <f t="shared" si="11"/>
        <v>1 </v>
      </c>
      <c r="P103">
        <v>18.1</v>
      </c>
      <c r="Q103" t="s">
        <v>27</v>
      </c>
    </row>
    <row r="104" spans="1:17" ht="15">
      <c r="A104" t="s">
        <v>17</v>
      </c>
      <c r="B104" s="1">
        <v>43180</v>
      </c>
      <c r="C104" t="s">
        <v>18</v>
      </c>
      <c r="D104" t="str">
        <f>CONCATENATE("0060023378","")</f>
        <v>0060023378</v>
      </c>
      <c r="E104" t="str">
        <f>CONCATENATE("0010815002100       ","")</f>
        <v>0010815002100       </v>
      </c>
      <c r="F104" t="str">
        <f>CONCATENATE("607548155","")</f>
        <v>607548155</v>
      </c>
      <c r="G104" t="s">
        <v>136</v>
      </c>
      <c r="H104" t="s">
        <v>230</v>
      </c>
      <c r="I104" t="s">
        <v>226</v>
      </c>
      <c r="J104" t="str">
        <f t="shared" si="15"/>
        <v>080107</v>
      </c>
      <c r="K104" t="s">
        <v>22</v>
      </c>
      <c r="L104" t="s">
        <v>23</v>
      </c>
      <c r="M104" t="str">
        <f t="shared" si="16"/>
        <v>1</v>
      </c>
      <c r="O104" t="str">
        <f t="shared" si="11"/>
        <v>1 </v>
      </c>
      <c r="P104">
        <v>72.6</v>
      </c>
      <c r="Q104" t="s">
        <v>27</v>
      </c>
    </row>
    <row r="105" spans="1:17" ht="15">
      <c r="A105" t="s">
        <v>17</v>
      </c>
      <c r="B105" s="1">
        <v>43180</v>
      </c>
      <c r="C105" t="s">
        <v>18</v>
      </c>
      <c r="D105" t="str">
        <f>CONCATENATE("0060025619","")</f>
        <v>0060025619</v>
      </c>
      <c r="E105" t="str">
        <f>CONCATENATE("0010815003000       ","")</f>
        <v>0010815003000       </v>
      </c>
      <c r="F105" t="str">
        <f>CONCATENATE("607661137","")</f>
        <v>607661137</v>
      </c>
      <c r="G105" t="s">
        <v>136</v>
      </c>
      <c r="H105" t="s">
        <v>231</v>
      </c>
      <c r="I105" t="s">
        <v>232</v>
      </c>
      <c r="J105" t="str">
        <f t="shared" si="15"/>
        <v>080107</v>
      </c>
      <c r="K105" t="s">
        <v>22</v>
      </c>
      <c r="L105" t="s">
        <v>23</v>
      </c>
      <c r="M105" t="str">
        <f t="shared" si="16"/>
        <v>1</v>
      </c>
      <c r="O105" t="str">
        <f t="shared" si="11"/>
        <v>1 </v>
      </c>
      <c r="P105">
        <v>30</v>
      </c>
      <c r="Q105" t="s">
        <v>27</v>
      </c>
    </row>
    <row r="106" spans="1:17" ht="15">
      <c r="A106" t="s">
        <v>17</v>
      </c>
      <c r="B106" s="1">
        <v>43180</v>
      </c>
      <c r="C106" t="s">
        <v>18</v>
      </c>
      <c r="D106" t="str">
        <f>CONCATENATE("0060025625","")</f>
        <v>0060025625</v>
      </c>
      <c r="E106" t="str">
        <f>CONCATENATE("0010815003380       ","")</f>
        <v>0010815003380       </v>
      </c>
      <c r="F106" t="str">
        <f>CONCATENATE("607661140","")</f>
        <v>607661140</v>
      </c>
      <c r="G106" t="s">
        <v>136</v>
      </c>
      <c r="H106" t="s">
        <v>233</v>
      </c>
      <c r="I106" t="s">
        <v>234</v>
      </c>
      <c r="J106" t="str">
        <f t="shared" si="15"/>
        <v>080107</v>
      </c>
      <c r="K106" t="s">
        <v>22</v>
      </c>
      <c r="L106" t="s">
        <v>23</v>
      </c>
      <c r="M106" t="str">
        <f t="shared" si="16"/>
        <v>1</v>
      </c>
      <c r="O106" t="str">
        <f t="shared" si="11"/>
        <v>1 </v>
      </c>
      <c r="P106">
        <v>11.85</v>
      </c>
      <c r="Q106" t="s">
        <v>27</v>
      </c>
    </row>
    <row r="107" spans="1:17" ht="15">
      <c r="A107" t="s">
        <v>17</v>
      </c>
      <c r="B107" s="1">
        <v>43180</v>
      </c>
      <c r="C107" t="s">
        <v>18</v>
      </c>
      <c r="D107" t="str">
        <f>CONCATENATE("0060025632","")</f>
        <v>0060025632</v>
      </c>
      <c r="E107" t="str">
        <f>CONCATENATE("0010815003400       ","")</f>
        <v>0010815003400       </v>
      </c>
      <c r="F107" t="str">
        <f>CONCATENATE("607661127","")</f>
        <v>607661127</v>
      </c>
      <c r="G107" t="s">
        <v>136</v>
      </c>
      <c r="H107" t="s">
        <v>235</v>
      </c>
      <c r="I107" t="s">
        <v>236</v>
      </c>
      <c r="J107" t="str">
        <f t="shared" si="15"/>
        <v>080107</v>
      </c>
      <c r="K107" t="s">
        <v>22</v>
      </c>
      <c r="L107" t="s">
        <v>23</v>
      </c>
      <c r="M107" t="str">
        <f t="shared" si="16"/>
        <v>1</v>
      </c>
      <c r="O107" t="str">
        <f t="shared" si="11"/>
        <v>1 </v>
      </c>
      <c r="P107">
        <v>12.55</v>
      </c>
      <c r="Q107" t="s">
        <v>27</v>
      </c>
    </row>
    <row r="108" spans="1:17" ht="15">
      <c r="A108" t="s">
        <v>17</v>
      </c>
      <c r="B108" s="1">
        <v>43180</v>
      </c>
      <c r="C108" t="s">
        <v>18</v>
      </c>
      <c r="D108" t="str">
        <f>CONCATENATE("0060026224","")</f>
        <v>0060026224</v>
      </c>
      <c r="E108" t="str">
        <f>CONCATENATE("0010816000380       ","")</f>
        <v>0010816000380       </v>
      </c>
      <c r="F108" t="str">
        <f>CONCATENATE("2017020918","")</f>
        <v>2017020918</v>
      </c>
      <c r="G108" t="s">
        <v>237</v>
      </c>
      <c r="H108" t="s">
        <v>238</v>
      </c>
      <c r="I108" t="s">
        <v>239</v>
      </c>
      <c r="J108" t="str">
        <f t="shared" si="15"/>
        <v>080107</v>
      </c>
      <c r="K108" t="s">
        <v>22</v>
      </c>
      <c r="L108" t="s">
        <v>23</v>
      </c>
      <c r="M108" t="str">
        <f t="shared" si="16"/>
        <v>1</v>
      </c>
      <c r="O108" t="str">
        <f t="shared" si="11"/>
        <v>1 </v>
      </c>
      <c r="P108">
        <v>57.8</v>
      </c>
      <c r="Q108" t="s">
        <v>27</v>
      </c>
    </row>
    <row r="109" spans="1:17" ht="15">
      <c r="A109" t="s">
        <v>17</v>
      </c>
      <c r="B109" s="1">
        <v>43180</v>
      </c>
      <c r="C109" t="s">
        <v>18</v>
      </c>
      <c r="D109" t="str">
        <f>CONCATENATE("0060026311","")</f>
        <v>0060026311</v>
      </c>
      <c r="E109" t="str">
        <f>CONCATENATE("0010816000590       ","")</f>
        <v>0010816000590       </v>
      </c>
      <c r="F109" t="str">
        <f>CONCATENATE("2017021696","")</f>
        <v>2017021696</v>
      </c>
      <c r="G109" t="s">
        <v>237</v>
      </c>
      <c r="H109" t="s">
        <v>240</v>
      </c>
      <c r="I109" t="s">
        <v>241</v>
      </c>
      <c r="J109" t="str">
        <f t="shared" si="15"/>
        <v>080107</v>
      </c>
      <c r="K109" t="s">
        <v>22</v>
      </c>
      <c r="L109" t="s">
        <v>23</v>
      </c>
      <c r="M109" t="str">
        <f t="shared" si="16"/>
        <v>1</v>
      </c>
      <c r="O109" t="str">
        <f t="shared" si="11"/>
        <v>1 </v>
      </c>
      <c r="P109">
        <v>12.2</v>
      </c>
      <c r="Q109" t="s">
        <v>27</v>
      </c>
    </row>
    <row r="110" spans="1:17" ht="15">
      <c r="A110" t="s">
        <v>17</v>
      </c>
      <c r="B110" s="1">
        <v>43180</v>
      </c>
      <c r="C110" t="s">
        <v>242</v>
      </c>
      <c r="D110" t="str">
        <f>CONCATENATE("0060019364","")</f>
        <v>0060019364</v>
      </c>
      <c r="E110" t="str">
        <f>CONCATENATE("0110201000006       ","")</f>
        <v>0110201000006       </v>
      </c>
      <c r="F110" t="str">
        <f>CONCATENATE("606675233","")</f>
        <v>606675233</v>
      </c>
      <c r="G110" t="s">
        <v>243</v>
      </c>
      <c r="H110" t="s">
        <v>244</v>
      </c>
      <c r="I110" t="s">
        <v>245</v>
      </c>
      <c r="J110" t="str">
        <f>CONCATENATE("081208","")</f>
        <v>081208</v>
      </c>
      <c r="K110" t="s">
        <v>22</v>
      </c>
      <c r="L110" t="s">
        <v>23</v>
      </c>
      <c r="M110" t="str">
        <f t="shared" si="16"/>
        <v>1</v>
      </c>
      <c r="O110" t="str">
        <f t="shared" si="11"/>
        <v>1 </v>
      </c>
      <c r="P110">
        <v>78.45</v>
      </c>
      <c r="Q110" t="s">
        <v>27</v>
      </c>
    </row>
    <row r="111" spans="1:17" ht="15">
      <c r="A111" t="s">
        <v>17</v>
      </c>
      <c r="B111" s="1">
        <v>43180</v>
      </c>
      <c r="C111" t="s">
        <v>246</v>
      </c>
      <c r="D111" t="str">
        <f>CONCATENATE("0060025978","")</f>
        <v>0060025978</v>
      </c>
      <c r="E111" t="str">
        <f>CONCATENATE("0110201000155       ","")</f>
        <v>0110201000155       </v>
      </c>
      <c r="F111" t="str">
        <f>CONCATENATE("607649356","")</f>
        <v>607649356</v>
      </c>
      <c r="G111" t="s">
        <v>243</v>
      </c>
      <c r="H111" t="s">
        <v>247</v>
      </c>
      <c r="I111" t="s">
        <v>248</v>
      </c>
      <c r="J111" t="str">
        <f aca="true" t="shared" si="17" ref="J111:J121">CONCATENATE("081102","")</f>
        <v>081102</v>
      </c>
      <c r="K111" t="s">
        <v>22</v>
      </c>
      <c r="L111" t="s">
        <v>23</v>
      </c>
      <c r="M111" t="str">
        <f t="shared" si="16"/>
        <v>1</v>
      </c>
      <c r="N111" t="str">
        <f>CONCATENATE("962214643","")</f>
        <v>962214643</v>
      </c>
      <c r="O111" t="str">
        <f t="shared" si="11"/>
        <v>1 </v>
      </c>
      <c r="P111">
        <v>11.8</v>
      </c>
      <c r="Q111" t="s">
        <v>27</v>
      </c>
    </row>
    <row r="112" spans="1:17" ht="15">
      <c r="A112" t="s">
        <v>17</v>
      </c>
      <c r="B112" s="1">
        <v>43180</v>
      </c>
      <c r="C112" t="s">
        <v>246</v>
      </c>
      <c r="D112" t="str">
        <f>CONCATENATE("0060008877","")</f>
        <v>0060008877</v>
      </c>
      <c r="E112" t="str">
        <f>CONCATENATE("0110201000295       ","")</f>
        <v>0110201000295       </v>
      </c>
      <c r="F112" t="str">
        <f>CONCATENATE("0605761325","")</f>
        <v>0605761325</v>
      </c>
      <c r="G112" t="s">
        <v>243</v>
      </c>
      <c r="H112" t="s">
        <v>249</v>
      </c>
      <c r="I112" t="s">
        <v>250</v>
      </c>
      <c r="J112" t="str">
        <f t="shared" si="17"/>
        <v>081102</v>
      </c>
      <c r="K112" t="s">
        <v>22</v>
      </c>
      <c r="L112" t="s">
        <v>23</v>
      </c>
      <c r="M112" t="str">
        <f t="shared" si="16"/>
        <v>1</v>
      </c>
      <c r="O112" t="str">
        <f t="shared" si="11"/>
        <v>1 </v>
      </c>
      <c r="P112">
        <v>74.7</v>
      </c>
      <c r="Q112" t="s">
        <v>27</v>
      </c>
    </row>
    <row r="113" spans="1:17" ht="15">
      <c r="A113" t="s">
        <v>17</v>
      </c>
      <c r="B113" s="1">
        <v>43180</v>
      </c>
      <c r="C113" t="s">
        <v>246</v>
      </c>
      <c r="D113" t="str">
        <f>CONCATENATE("0060021193","")</f>
        <v>0060021193</v>
      </c>
      <c r="E113" t="str">
        <f>CONCATENATE("0110201000347       ","")</f>
        <v>0110201000347       </v>
      </c>
      <c r="F113" t="str">
        <f>CONCATENATE("607298169","")</f>
        <v>607298169</v>
      </c>
      <c r="G113" t="s">
        <v>243</v>
      </c>
      <c r="H113" t="s">
        <v>251</v>
      </c>
      <c r="I113" t="s">
        <v>252</v>
      </c>
      <c r="J113" t="str">
        <f t="shared" si="17"/>
        <v>081102</v>
      </c>
      <c r="K113" t="s">
        <v>22</v>
      </c>
      <c r="L113" t="s">
        <v>23</v>
      </c>
      <c r="M113" t="str">
        <f t="shared" si="16"/>
        <v>1</v>
      </c>
      <c r="N113" t="str">
        <f>CONCATENATE("951655952","")</f>
        <v>951655952</v>
      </c>
      <c r="O113" t="str">
        <f t="shared" si="11"/>
        <v>1 </v>
      </c>
      <c r="P113">
        <v>17.5</v>
      </c>
      <c r="Q113" t="s">
        <v>27</v>
      </c>
    </row>
    <row r="114" spans="1:17" ht="15">
      <c r="A114" t="s">
        <v>17</v>
      </c>
      <c r="B114" s="1">
        <v>43180</v>
      </c>
      <c r="C114" t="s">
        <v>246</v>
      </c>
      <c r="D114" t="str">
        <f>CONCATENATE("0060023350","")</f>
        <v>0060023350</v>
      </c>
      <c r="E114" t="str">
        <f>CONCATENATE("0110201000387       ","")</f>
        <v>0110201000387       </v>
      </c>
      <c r="F114" t="str">
        <f>CONCATENATE("607538767","")</f>
        <v>607538767</v>
      </c>
      <c r="G114" t="s">
        <v>243</v>
      </c>
      <c r="H114" t="s">
        <v>253</v>
      </c>
      <c r="I114" t="s">
        <v>254</v>
      </c>
      <c r="J114" t="str">
        <f t="shared" si="17"/>
        <v>081102</v>
      </c>
      <c r="K114" t="s">
        <v>22</v>
      </c>
      <c r="L114" t="s">
        <v>23</v>
      </c>
      <c r="M114" t="str">
        <f t="shared" si="16"/>
        <v>1</v>
      </c>
      <c r="N114" t="str">
        <f>CONCATENATE("954325214","")</f>
        <v>954325214</v>
      </c>
      <c r="O114" t="str">
        <f t="shared" si="11"/>
        <v>1 </v>
      </c>
      <c r="P114">
        <v>110.35</v>
      </c>
      <c r="Q114" t="s">
        <v>27</v>
      </c>
    </row>
    <row r="115" spans="1:17" ht="15">
      <c r="A115" t="s">
        <v>17</v>
      </c>
      <c r="B115" s="1">
        <v>43180</v>
      </c>
      <c r="C115" t="s">
        <v>246</v>
      </c>
      <c r="D115" t="str">
        <f>CONCATENATE("0060008965","")</f>
        <v>0060008965</v>
      </c>
      <c r="E115" t="str">
        <f>CONCATENATE("0110201000430       ","")</f>
        <v>0110201000430       </v>
      </c>
      <c r="F115" t="str">
        <f>CONCATENATE("605938275","")</f>
        <v>605938275</v>
      </c>
      <c r="G115" t="s">
        <v>243</v>
      </c>
      <c r="H115" t="s">
        <v>255</v>
      </c>
      <c r="I115" t="s">
        <v>256</v>
      </c>
      <c r="J115" t="str">
        <f t="shared" si="17"/>
        <v>081102</v>
      </c>
      <c r="K115" t="s">
        <v>22</v>
      </c>
      <c r="L115" t="s">
        <v>23</v>
      </c>
      <c r="M115" t="str">
        <f t="shared" si="16"/>
        <v>1</v>
      </c>
      <c r="O115" t="str">
        <f t="shared" si="11"/>
        <v>1 </v>
      </c>
      <c r="P115">
        <v>13.5</v>
      </c>
      <c r="Q115" t="s">
        <v>27</v>
      </c>
    </row>
    <row r="116" spans="1:17" ht="15">
      <c r="A116" t="s">
        <v>17</v>
      </c>
      <c r="B116" s="1">
        <v>43180</v>
      </c>
      <c r="C116" t="s">
        <v>246</v>
      </c>
      <c r="D116" t="str">
        <f>CONCATENATE("0060009708","")</f>
        <v>0060009708</v>
      </c>
      <c r="E116" t="str">
        <f>CONCATENATE("0110201000485       ","")</f>
        <v>0110201000485       </v>
      </c>
      <c r="F116" t="str">
        <f>CONCATENATE("2014024549","")</f>
        <v>2014024549</v>
      </c>
      <c r="G116" t="s">
        <v>243</v>
      </c>
      <c r="H116" t="s">
        <v>257</v>
      </c>
      <c r="I116" t="s">
        <v>258</v>
      </c>
      <c r="J116" t="str">
        <f t="shared" si="17"/>
        <v>081102</v>
      </c>
      <c r="K116" t="s">
        <v>22</v>
      </c>
      <c r="L116" t="s">
        <v>23</v>
      </c>
      <c r="M116" t="str">
        <f t="shared" si="16"/>
        <v>1</v>
      </c>
      <c r="O116" t="str">
        <f t="shared" si="11"/>
        <v>1 </v>
      </c>
      <c r="P116">
        <v>61.6</v>
      </c>
      <c r="Q116" t="s">
        <v>27</v>
      </c>
    </row>
    <row r="117" spans="1:17" ht="15">
      <c r="A117" t="s">
        <v>17</v>
      </c>
      <c r="B117" s="1">
        <v>43180</v>
      </c>
      <c r="C117" t="s">
        <v>246</v>
      </c>
      <c r="D117" t="str">
        <f>CONCATENATE("0060008781","")</f>
        <v>0060008781</v>
      </c>
      <c r="E117" t="str">
        <f>CONCATENATE("0110202000005       ","")</f>
        <v>0110202000005       </v>
      </c>
      <c r="F117" t="str">
        <f>CONCATENATE("0605759971","")</f>
        <v>0605759971</v>
      </c>
      <c r="G117" t="s">
        <v>259</v>
      </c>
      <c r="H117" t="s">
        <v>260</v>
      </c>
      <c r="I117" t="s">
        <v>261</v>
      </c>
      <c r="J117" t="str">
        <f t="shared" si="17"/>
        <v>081102</v>
      </c>
      <c r="K117" t="s">
        <v>22</v>
      </c>
      <c r="L117" t="s">
        <v>23</v>
      </c>
      <c r="M117" t="str">
        <f t="shared" si="16"/>
        <v>1</v>
      </c>
      <c r="O117" t="str">
        <f t="shared" si="11"/>
        <v>1 </v>
      </c>
      <c r="P117">
        <v>19.2</v>
      </c>
      <c r="Q117" t="s">
        <v>27</v>
      </c>
    </row>
    <row r="118" spans="1:17" ht="15">
      <c r="A118" t="s">
        <v>17</v>
      </c>
      <c r="B118" s="1">
        <v>43180</v>
      </c>
      <c r="C118" t="s">
        <v>246</v>
      </c>
      <c r="D118" t="str">
        <f>CONCATENATE("0060000418","")</f>
        <v>0060000418</v>
      </c>
      <c r="E118" t="str">
        <f>CONCATENATE("0110202000020       ","")</f>
        <v>0110202000020       </v>
      </c>
      <c r="F118" t="str">
        <f>CONCATENATE("605354604","")</f>
        <v>605354604</v>
      </c>
      <c r="G118" t="s">
        <v>259</v>
      </c>
      <c r="H118" t="s">
        <v>262</v>
      </c>
      <c r="I118" t="s">
        <v>261</v>
      </c>
      <c r="J118" t="str">
        <f t="shared" si="17"/>
        <v>081102</v>
      </c>
      <c r="K118" t="s">
        <v>22</v>
      </c>
      <c r="L118" t="s">
        <v>23</v>
      </c>
      <c r="M118" t="str">
        <f t="shared" si="16"/>
        <v>1</v>
      </c>
      <c r="O118" t="str">
        <f t="shared" si="11"/>
        <v>1 </v>
      </c>
      <c r="P118">
        <v>28</v>
      </c>
      <c r="Q118" t="s">
        <v>27</v>
      </c>
    </row>
    <row r="119" spans="1:17" ht="15">
      <c r="A119" t="s">
        <v>17</v>
      </c>
      <c r="B119" s="1">
        <v>43180</v>
      </c>
      <c r="C119" t="s">
        <v>246</v>
      </c>
      <c r="D119" t="str">
        <f>CONCATENATE("0060000420","")</f>
        <v>0060000420</v>
      </c>
      <c r="E119" t="str">
        <f>CONCATENATE("0110202000040       ","")</f>
        <v>0110202000040       </v>
      </c>
      <c r="F119" t="str">
        <f>CONCATENATE("606842255","")</f>
        <v>606842255</v>
      </c>
      <c r="G119" t="s">
        <v>259</v>
      </c>
      <c r="H119" t="s">
        <v>263</v>
      </c>
      <c r="I119" t="s">
        <v>261</v>
      </c>
      <c r="J119" t="str">
        <f t="shared" si="17"/>
        <v>081102</v>
      </c>
      <c r="K119" t="s">
        <v>22</v>
      </c>
      <c r="L119" t="s">
        <v>23</v>
      </c>
      <c r="M119" t="str">
        <f t="shared" si="16"/>
        <v>1</v>
      </c>
      <c r="O119" t="str">
        <f t="shared" si="11"/>
        <v>1 </v>
      </c>
      <c r="P119">
        <v>14.85</v>
      </c>
      <c r="Q119" t="s">
        <v>27</v>
      </c>
    </row>
    <row r="120" spans="1:17" ht="15">
      <c r="A120" t="s">
        <v>17</v>
      </c>
      <c r="B120" s="1">
        <v>43180</v>
      </c>
      <c r="C120" t="s">
        <v>246</v>
      </c>
      <c r="D120" t="str">
        <f>CONCATENATE("0060000428","")</f>
        <v>0060000428</v>
      </c>
      <c r="E120" t="str">
        <f>CONCATENATE("0110202000150       ","")</f>
        <v>0110202000150       </v>
      </c>
      <c r="F120" t="str">
        <f>CONCATENATE("606809405","")</f>
        <v>606809405</v>
      </c>
      <c r="G120" t="s">
        <v>259</v>
      </c>
      <c r="H120" t="s">
        <v>264</v>
      </c>
      <c r="I120" t="s">
        <v>261</v>
      </c>
      <c r="J120" t="str">
        <f t="shared" si="17"/>
        <v>081102</v>
      </c>
      <c r="K120" t="s">
        <v>22</v>
      </c>
      <c r="L120" t="s">
        <v>23</v>
      </c>
      <c r="M120" t="str">
        <f t="shared" si="16"/>
        <v>1</v>
      </c>
      <c r="O120" t="str">
        <f t="shared" si="11"/>
        <v>1 </v>
      </c>
      <c r="P120">
        <v>50.45</v>
      </c>
      <c r="Q120" t="s">
        <v>27</v>
      </c>
    </row>
    <row r="121" spans="1:17" ht="15">
      <c r="A121" t="s">
        <v>17</v>
      </c>
      <c r="B121" s="1">
        <v>43180</v>
      </c>
      <c r="C121" t="s">
        <v>246</v>
      </c>
      <c r="D121" t="str">
        <f>CONCATENATE("0060016457","")</f>
        <v>0060016457</v>
      </c>
      <c r="E121" t="str">
        <f>CONCATENATE("0110202000325       ","")</f>
        <v>0110202000325       </v>
      </c>
      <c r="F121" t="str">
        <f>CONCATENATE("1935222","")</f>
        <v>1935222</v>
      </c>
      <c r="G121" t="s">
        <v>259</v>
      </c>
      <c r="H121" t="s">
        <v>265</v>
      </c>
      <c r="I121" t="s">
        <v>266</v>
      </c>
      <c r="J121" t="str">
        <f t="shared" si="17"/>
        <v>081102</v>
      </c>
      <c r="K121" t="s">
        <v>22</v>
      </c>
      <c r="L121" t="s">
        <v>23</v>
      </c>
      <c r="M121" t="str">
        <f t="shared" si="16"/>
        <v>1</v>
      </c>
      <c r="O121" t="str">
        <f t="shared" si="11"/>
        <v>1 </v>
      </c>
      <c r="P121">
        <v>11.85</v>
      </c>
      <c r="Q121" t="s">
        <v>27</v>
      </c>
    </row>
    <row r="122" spans="1:17" ht="15">
      <c r="A122" t="s">
        <v>17</v>
      </c>
      <c r="B122" s="1">
        <v>43180</v>
      </c>
      <c r="C122" t="s">
        <v>242</v>
      </c>
      <c r="D122" t="str">
        <f>CONCATENATE("0060019819","")</f>
        <v>0060019819</v>
      </c>
      <c r="E122" t="str">
        <f>CONCATENATE("0110202000331       ","")</f>
        <v>0110202000331       </v>
      </c>
      <c r="F122" t="str">
        <f>CONCATENATE("606802497","")</f>
        <v>606802497</v>
      </c>
      <c r="G122" t="s">
        <v>259</v>
      </c>
      <c r="H122" t="s">
        <v>267</v>
      </c>
      <c r="I122" t="s">
        <v>268</v>
      </c>
      <c r="J122" t="str">
        <f>CONCATENATE("081208","")</f>
        <v>081208</v>
      </c>
      <c r="K122" t="s">
        <v>22</v>
      </c>
      <c r="L122" t="s">
        <v>23</v>
      </c>
      <c r="M122" t="str">
        <f t="shared" si="16"/>
        <v>1</v>
      </c>
      <c r="O122" t="str">
        <f t="shared" si="11"/>
        <v>1 </v>
      </c>
      <c r="P122">
        <v>191.65</v>
      </c>
      <c r="Q122" t="s">
        <v>27</v>
      </c>
    </row>
    <row r="123" spans="1:17" ht="15">
      <c r="A123" t="s">
        <v>17</v>
      </c>
      <c r="B123" s="1">
        <v>43180</v>
      </c>
      <c r="C123" t="s">
        <v>242</v>
      </c>
      <c r="D123" t="str">
        <f>CONCATENATE("0060018353","")</f>
        <v>0060018353</v>
      </c>
      <c r="E123" t="str">
        <f>CONCATENATE("0110202000468       ","")</f>
        <v>0110202000468       </v>
      </c>
      <c r="F123" t="str">
        <f>CONCATENATE("2181764","")</f>
        <v>2181764</v>
      </c>
      <c r="G123" t="s">
        <v>269</v>
      </c>
      <c r="H123" t="s">
        <v>270</v>
      </c>
      <c r="I123" t="s">
        <v>271</v>
      </c>
      <c r="J123" t="str">
        <f>CONCATENATE("081208","")</f>
        <v>081208</v>
      </c>
      <c r="K123" t="s">
        <v>22</v>
      </c>
      <c r="L123" t="s">
        <v>23</v>
      </c>
      <c r="M123" t="str">
        <f t="shared" si="16"/>
        <v>1</v>
      </c>
      <c r="O123" t="str">
        <f t="shared" si="11"/>
        <v>1 </v>
      </c>
      <c r="P123">
        <v>57.65</v>
      </c>
      <c r="Q123" t="s">
        <v>27</v>
      </c>
    </row>
    <row r="124" spans="1:17" ht="15">
      <c r="A124" t="s">
        <v>17</v>
      </c>
      <c r="B124" s="1">
        <v>43180</v>
      </c>
      <c r="C124" t="s">
        <v>246</v>
      </c>
      <c r="D124" t="str">
        <f>CONCATENATE("0060011857","")</f>
        <v>0060011857</v>
      </c>
      <c r="E124" t="str">
        <f>CONCATENATE("0110203000030       ","")</f>
        <v>0110203000030       </v>
      </c>
      <c r="F124" t="str">
        <f>CONCATENATE("607293754","")</f>
        <v>607293754</v>
      </c>
      <c r="G124" t="s">
        <v>272</v>
      </c>
      <c r="H124" t="s">
        <v>273</v>
      </c>
      <c r="I124" t="s">
        <v>274</v>
      </c>
      <c r="J124" t="str">
        <f>CONCATENATE("081102","")</f>
        <v>081102</v>
      </c>
      <c r="K124" t="s">
        <v>22</v>
      </c>
      <c r="L124" t="s">
        <v>23</v>
      </c>
      <c r="M124" t="str">
        <f t="shared" si="16"/>
        <v>1</v>
      </c>
      <c r="O124" t="str">
        <f t="shared" si="11"/>
        <v>1 </v>
      </c>
      <c r="P124">
        <v>11.85</v>
      </c>
      <c r="Q124" t="s">
        <v>27</v>
      </c>
    </row>
    <row r="125" spans="1:17" ht="15">
      <c r="A125" t="s">
        <v>17</v>
      </c>
      <c r="B125" s="1">
        <v>43180</v>
      </c>
      <c r="C125" t="s">
        <v>246</v>
      </c>
      <c r="D125" t="str">
        <f>CONCATENATE("0060019958","")</f>
        <v>0060019958</v>
      </c>
      <c r="E125" t="str">
        <f>CONCATENATE("0110207000320       ","")</f>
        <v>0110207000320       </v>
      </c>
      <c r="F125" t="str">
        <f>CONCATENATE("606746375","")</f>
        <v>606746375</v>
      </c>
      <c r="G125" t="s">
        <v>275</v>
      </c>
      <c r="H125" t="s">
        <v>276</v>
      </c>
      <c r="I125" t="s">
        <v>277</v>
      </c>
      <c r="J125" t="str">
        <f>CONCATENATE("081102","")</f>
        <v>081102</v>
      </c>
      <c r="K125" t="s">
        <v>22</v>
      </c>
      <c r="L125" t="s">
        <v>23</v>
      </c>
      <c r="M125" t="str">
        <f t="shared" si="16"/>
        <v>1</v>
      </c>
      <c r="O125" t="str">
        <f t="shared" si="11"/>
        <v>1 </v>
      </c>
      <c r="P125">
        <v>12.1</v>
      </c>
      <c r="Q125" t="s">
        <v>27</v>
      </c>
    </row>
    <row r="126" spans="1:17" ht="15">
      <c r="A126" t="s">
        <v>17</v>
      </c>
      <c r="B126" s="1">
        <v>43180</v>
      </c>
      <c r="C126" t="s">
        <v>278</v>
      </c>
      <c r="D126" t="str">
        <f>CONCATENATE("0060000465","")</f>
        <v>0060000465</v>
      </c>
      <c r="E126" t="str">
        <f>CONCATENATE("0120101000010       ","")</f>
        <v>0120101000010       </v>
      </c>
      <c r="F126" t="str">
        <f>CONCATENATE("2174862","")</f>
        <v>2174862</v>
      </c>
      <c r="G126" t="s">
        <v>279</v>
      </c>
      <c r="H126" t="s">
        <v>280</v>
      </c>
      <c r="I126" t="s">
        <v>281</v>
      </c>
      <c r="J126" t="str">
        <f aca="true" t="shared" si="18" ref="J126:J157">CONCATENATE("081201","")</f>
        <v>081201</v>
      </c>
      <c r="K126" t="s">
        <v>22</v>
      </c>
      <c r="L126" t="s">
        <v>23</v>
      </c>
      <c r="M126" t="str">
        <f t="shared" si="16"/>
        <v>1</v>
      </c>
      <c r="O126" t="str">
        <f t="shared" si="11"/>
        <v>1 </v>
      </c>
      <c r="P126">
        <v>63.1</v>
      </c>
      <c r="Q126" t="s">
        <v>27</v>
      </c>
    </row>
    <row r="127" spans="1:17" ht="15">
      <c r="A127" t="s">
        <v>17</v>
      </c>
      <c r="B127" s="1">
        <v>43180</v>
      </c>
      <c r="C127" t="s">
        <v>278</v>
      </c>
      <c r="D127" t="str">
        <f>CONCATENATE("0060000476","")</f>
        <v>0060000476</v>
      </c>
      <c r="E127" t="str">
        <f>CONCATENATE("0120101000030       ","")</f>
        <v>0120101000030       </v>
      </c>
      <c r="F127" t="str">
        <f>CONCATENATE("01936546","")</f>
        <v>01936546</v>
      </c>
      <c r="G127" t="s">
        <v>279</v>
      </c>
      <c r="H127" t="s">
        <v>282</v>
      </c>
      <c r="I127" t="s">
        <v>283</v>
      </c>
      <c r="J127" t="str">
        <f t="shared" si="18"/>
        <v>081201</v>
      </c>
      <c r="K127" t="s">
        <v>22</v>
      </c>
      <c r="L127" t="s">
        <v>23</v>
      </c>
      <c r="M127" t="str">
        <f t="shared" si="16"/>
        <v>1</v>
      </c>
      <c r="O127" t="str">
        <f t="shared" si="11"/>
        <v>1 </v>
      </c>
      <c r="P127">
        <v>38.9</v>
      </c>
      <c r="Q127" t="s">
        <v>27</v>
      </c>
    </row>
    <row r="128" spans="1:17" ht="15">
      <c r="A128" t="s">
        <v>17</v>
      </c>
      <c r="B128" s="1">
        <v>43180</v>
      </c>
      <c r="C128" t="s">
        <v>278</v>
      </c>
      <c r="D128" t="str">
        <f>CONCATENATE("0060000479","")</f>
        <v>0060000479</v>
      </c>
      <c r="E128" t="str">
        <f>CONCATENATE("0120101000060       ","")</f>
        <v>0120101000060       </v>
      </c>
      <c r="F128" t="str">
        <f>CONCATENATE("1865890","")</f>
        <v>1865890</v>
      </c>
      <c r="G128" t="s">
        <v>279</v>
      </c>
      <c r="H128" t="s">
        <v>284</v>
      </c>
      <c r="I128" t="s">
        <v>281</v>
      </c>
      <c r="J128" t="str">
        <f t="shared" si="18"/>
        <v>081201</v>
      </c>
      <c r="K128" t="s">
        <v>22</v>
      </c>
      <c r="L128" t="s">
        <v>23</v>
      </c>
      <c r="M128" t="str">
        <f t="shared" si="16"/>
        <v>1</v>
      </c>
      <c r="O128" t="str">
        <f t="shared" si="11"/>
        <v>1 </v>
      </c>
      <c r="P128">
        <v>29.55</v>
      </c>
      <c r="Q128" t="s">
        <v>27</v>
      </c>
    </row>
    <row r="129" spans="1:17" ht="15">
      <c r="A129" t="s">
        <v>17</v>
      </c>
      <c r="B129" s="1">
        <v>43180</v>
      </c>
      <c r="C129" t="s">
        <v>278</v>
      </c>
      <c r="D129" t="str">
        <f>CONCATENATE("0060000481","")</f>
        <v>0060000481</v>
      </c>
      <c r="E129" t="str">
        <f>CONCATENATE("0120101000075       ","")</f>
        <v>0120101000075       </v>
      </c>
      <c r="F129" t="str">
        <f>CONCATENATE("605759963","")</f>
        <v>605759963</v>
      </c>
      <c r="G129" t="s">
        <v>279</v>
      </c>
      <c r="H129" t="s">
        <v>285</v>
      </c>
      <c r="I129" t="s">
        <v>286</v>
      </c>
      <c r="J129" t="str">
        <f t="shared" si="18"/>
        <v>081201</v>
      </c>
      <c r="K129" t="s">
        <v>22</v>
      </c>
      <c r="L129" t="s">
        <v>23</v>
      </c>
      <c r="M129" t="str">
        <f t="shared" si="16"/>
        <v>1</v>
      </c>
      <c r="O129" t="str">
        <f t="shared" si="11"/>
        <v>1 </v>
      </c>
      <c r="P129">
        <v>58.1</v>
      </c>
      <c r="Q129" t="s">
        <v>27</v>
      </c>
    </row>
    <row r="130" spans="1:17" ht="15">
      <c r="A130" t="s">
        <v>17</v>
      </c>
      <c r="B130" s="1">
        <v>43180</v>
      </c>
      <c r="C130" t="s">
        <v>278</v>
      </c>
      <c r="D130" t="str">
        <f>CONCATENATE("0060020431","")</f>
        <v>0060020431</v>
      </c>
      <c r="E130" t="str">
        <f>CONCATENATE("0120101000180       ","")</f>
        <v>0120101000180       </v>
      </c>
      <c r="F130" t="str">
        <f>CONCATENATE("606895480","")</f>
        <v>606895480</v>
      </c>
      <c r="G130" t="s">
        <v>279</v>
      </c>
      <c r="H130" t="s">
        <v>287</v>
      </c>
      <c r="I130" t="s">
        <v>288</v>
      </c>
      <c r="J130" t="str">
        <f t="shared" si="18"/>
        <v>081201</v>
      </c>
      <c r="K130" t="s">
        <v>22</v>
      </c>
      <c r="L130" t="s">
        <v>23</v>
      </c>
      <c r="M130" t="str">
        <f t="shared" si="16"/>
        <v>1</v>
      </c>
      <c r="O130" t="str">
        <f aca="true" t="shared" si="19" ref="O130:O193">CONCATENATE("1 ","")</f>
        <v>1 </v>
      </c>
      <c r="P130">
        <v>304.3</v>
      </c>
      <c r="Q130" t="s">
        <v>27</v>
      </c>
    </row>
    <row r="131" spans="1:17" ht="15">
      <c r="A131" t="s">
        <v>17</v>
      </c>
      <c r="B131" s="1">
        <v>43180</v>
      </c>
      <c r="C131" t="s">
        <v>278</v>
      </c>
      <c r="D131" t="str">
        <f>CONCATENATE("0060000510","")</f>
        <v>0060000510</v>
      </c>
      <c r="E131" t="str">
        <f>CONCATENATE("0120101000271       ","")</f>
        <v>0120101000271       </v>
      </c>
      <c r="F131" t="str">
        <f>CONCATENATE("605230510","")</f>
        <v>605230510</v>
      </c>
      <c r="G131" t="s">
        <v>289</v>
      </c>
      <c r="H131" t="s">
        <v>290</v>
      </c>
      <c r="I131" t="s">
        <v>291</v>
      </c>
      <c r="J131" t="str">
        <f t="shared" si="18"/>
        <v>081201</v>
      </c>
      <c r="K131" t="s">
        <v>22</v>
      </c>
      <c r="L131" t="s">
        <v>23</v>
      </c>
      <c r="M131" t="str">
        <f t="shared" si="16"/>
        <v>1</v>
      </c>
      <c r="O131" t="str">
        <f t="shared" si="19"/>
        <v>1 </v>
      </c>
      <c r="P131">
        <v>80.15</v>
      </c>
      <c r="Q131" t="s">
        <v>27</v>
      </c>
    </row>
    <row r="132" spans="1:17" ht="15">
      <c r="A132" t="s">
        <v>17</v>
      </c>
      <c r="B132" s="1">
        <v>43180</v>
      </c>
      <c r="C132" t="s">
        <v>278</v>
      </c>
      <c r="D132" t="str">
        <f>CONCATENATE("0060000555","")</f>
        <v>0060000555</v>
      </c>
      <c r="E132" t="str">
        <f>CONCATENATE("0120101000650       ","")</f>
        <v>0120101000650       </v>
      </c>
      <c r="F132" t="str">
        <f>CONCATENATE("605085107","")</f>
        <v>605085107</v>
      </c>
      <c r="G132" t="s">
        <v>279</v>
      </c>
      <c r="H132" t="s">
        <v>292</v>
      </c>
      <c r="I132" t="s">
        <v>293</v>
      </c>
      <c r="J132" t="str">
        <f t="shared" si="18"/>
        <v>081201</v>
      </c>
      <c r="K132" t="s">
        <v>22</v>
      </c>
      <c r="L132" t="s">
        <v>23</v>
      </c>
      <c r="M132" t="str">
        <f t="shared" si="16"/>
        <v>1</v>
      </c>
      <c r="O132" t="str">
        <f t="shared" si="19"/>
        <v>1 </v>
      </c>
      <c r="P132">
        <v>11.8</v>
      </c>
      <c r="Q132" t="s">
        <v>27</v>
      </c>
    </row>
    <row r="133" spans="1:17" ht="15">
      <c r="A133" t="s">
        <v>17</v>
      </c>
      <c r="B133" s="1">
        <v>43180</v>
      </c>
      <c r="C133" t="s">
        <v>278</v>
      </c>
      <c r="D133" t="str">
        <f>CONCATENATE("0060000598","")</f>
        <v>0060000598</v>
      </c>
      <c r="E133" t="str">
        <f>CONCATENATE("0120101001000       ","")</f>
        <v>0120101001000       </v>
      </c>
      <c r="F133" t="str">
        <f>CONCATENATE("00000001695","")</f>
        <v>00000001695</v>
      </c>
      <c r="G133" t="s">
        <v>289</v>
      </c>
      <c r="H133" t="s">
        <v>294</v>
      </c>
      <c r="I133" t="s">
        <v>295</v>
      </c>
      <c r="J133" t="str">
        <f t="shared" si="18"/>
        <v>081201</v>
      </c>
      <c r="K133" t="s">
        <v>22</v>
      </c>
      <c r="L133" t="s">
        <v>23</v>
      </c>
      <c r="M133" t="str">
        <f t="shared" si="16"/>
        <v>1</v>
      </c>
      <c r="O133" t="str">
        <f t="shared" si="19"/>
        <v>1 </v>
      </c>
      <c r="P133">
        <v>24.45</v>
      </c>
      <c r="Q133" t="s">
        <v>27</v>
      </c>
    </row>
    <row r="134" spans="1:17" ht="15">
      <c r="A134" t="s">
        <v>17</v>
      </c>
      <c r="B134" s="1">
        <v>43180</v>
      </c>
      <c r="C134" t="s">
        <v>278</v>
      </c>
      <c r="D134" t="str">
        <f>CONCATENATE("0060009179","")</f>
        <v>0060009179</v>
      </c>
      <c r="E134" t="str">
        <f>CONCATENATE("0120101001015       ","")</f>
        <v>0120101001015       </v>
      </c>
      <c r="F134" t="str">
        <f>CONCATENATE("2150053","")</f>
        <v>2150053</v>
      </c>
      <c r="G134" t="s">
        <v>289</v>
      </c>
      <c r="H134" t="s">
        <v>296</v>
      </c>
      <c r="I134" t="s">
        <v>297</v>
      </c>
      <c r="J134" t="str">
        <f t="shared" si="18"/>
        <v>081201</v>
      </c>
      <c r="K134" t="s">
        <v>22</v>
      </c>
      <c r="L134" t="s">
        <v>23</v>
      </c>
      <c r="M134" t="str">
        <f t="shared" si="16"/>
        <v>1</v>
      </c>
      <c r="O134" t="str">
        <f t="shared" si="19"/>
        <v>1 </v>
      </c>
      <c r="P134">
        <v>216.3</v>
      </c>
      <c r="Q134" t="s">
        <v>27</v>
      </c>
    </row>
    <row r="135" spans="1:17" ht="15">
      <c r="A135" t="s">
        <v>17</v>
      </c>
      <c r="B135" s="1">
        <v>43180</v>
      </c>
      <c r="C135" t="s">
        <v>278</v>
      </c>
      <c r="D135" t="str">
        <f>CONCATENATE("0060015424","")</f>
        <v>0060015424</v>
      </c>
      <c r="E135" t="str">
        <f>CONCATENATE("0120101001097       ","")</f>
        <v>0120101001097       </v>
      </c>
      <c r="F135" t="str">
        <f>CONCATENATE("605942032","")</f>
        <v>605942032</v>
      </c>
      <c r="G135" t="s">
        <v>289</v>
      </c>
      <c r="H135" t="s">
        <v>298</v>
      </c>
      <c r="I135" t="s">
        <v>299</v>
      </c>
      <c r="J135" t="str">
        <f t="shared" si="18"/>
        <v>081201</v>
      </c>
      <c r="K135" t="s">
        <v>22</v>
      </c>
      <c r="L135" t="s">
        <v>23</v>
      </c>
      <c r="M135" t="str">
        <f t="shared" si="16"/>
        <v>1</v>
      </c>
      <c r="O135" t="str">
        <f t="shared" si="19"/>
        <v>1 </v>
      </c>
      <c r="P135">
        <v>21.8</v>
      </c>
      <c r="Q135" t="s">
        <v>27</v>
      </c>
    </row>
    <row r="136" spans="1:17" ht="15">
      <c r="A136" t="s">
        <v>17</v>
      </c>
      <c r="B136" s="1">
        <v>43180</v>
      </c>
      <c r="C136" t="s">
        <v>278</v>
      </c>
      <c r="D136" t="str">
        <f>CONCATENATE("0060000625","")</f>
        <v>0060000625</v>
      </c>
      <c r="E136" t="str">
        <f>CONCATENATE("0120101001185       ","")</f>
        <v>0120101001185       </v>
      </c>
      <c r="F136" t="str">
        <f>CONCATENATE("0605761299","")</f>
        <v>0605761299</v>
      </c>
      <c r="G136" t="s">
        <v>289</v>
      </c>
      <c r="H136" t="s">
        <v>300</v>
      </c>
      <c r="I136" t="s">
        <v>301</v>
      </c>
      <c r="J136" t="str">
        <f t="shared" si="18"/>
        <v>081201</v>
      </c>
      <c r="K136" t="s">
        <v>22</v>
      </c>
      <c r="L136" t="s">
        <v>23</v>
      </c>
      <c r="M136" t="str">
        <f t="shared" si="16"/>
        <v>1</v>
      </c>
      <c r="O136" t="str">
        <f t="shared" si="19"/>
        <v>1 </v>
      </c>
      <c r="P136">
        <v>97.05</v>
      </c>
      <c r="Q136" t="s">
        <v>27</v>
      </c>
    </row>
    <row r="137" spans="1:17" ht="15">
      <c r="A137" t="s">
        <v>17</v>
      </c>
      <c r="B137" s="1">
        <v>43180</v>
      </c>
      <c r="C137" t="s">
        <v>278</v>
      </c>
      <c r="D137" t="str">
        <f>CONCATENATE("0060025916","")</f>
        <v>0060025916</v>
      </c>
      <c r="E137" t="str">
        <f>CONCATENATE("0120101001223       ","")</f>
        <v>0120101001223       </v>
      </c>
      <c r="F137" t="str">
        <f>CONCATENATE("607652280","")</f>
        <v>607652280</v>
      </c>
      <c r="G137" t="s">
        <v>289</v>
      </c>
      <c r="H137" t="s">
        <v>302</v>
      </c>
      <c r="I137" t="s">
        <v>303</v>
      </c>
      <c r="J137" t="str">
        <f t="shared" si="18"/>
        <v>081201</v>
      </c>
      <c r="K137" t="s">
        <v>22</v>
      </c>
      <c r="L137" t="s">
        <v>23</v>
      </c>
      <c r="M137" t="str">
        <f t="shared" si="16"/>
        <v>1</v>
      </c>
      <c r="N137" t="str">
        <f>CONCATENATE("984061024","")</f>
        <v>984061024</v>
      </c>
      <c r="O137" t="str">
        <f t="shared" si="19"/>
        <v>1 </v>
      </c>
      <c r="P137">
        <v>11.85</v>
      </c>
      <c r="Q137" t="s">
        <v>27</v>
      </c>
    </row>
    <row r="138" spans="1:17" ht="15">
      <c r="A138" t="s">
        <v>17</v>
      </c>
      <c r="B138" s="1">
        <v>43180</v>
      </c>
      <c r="C138" t="s">
        <v>278</v>
      </c>
      <c r="D138" t="str">
        <f>CONCATENATE("0060000655","")</f>
        <v>0060000655</v>
      </c>
      <c r="E138" t="str">
        <f>CONCATENATE("0120101001440       ","")</f>
        <v>0120101001440       </v>
      </c>
      <c r="F138" t="str">
        <f>CONCATENATE("1867327","")</f>
        <v>1867327</v>
      </c>
      <c r="G138" t="s">
        <v>289</v>
      </c>
      <c r="H138" t="s">
        <v>304</v>
      </c>
      <c r="I138" t="s">
        <v>305</v>
      </c>
      <c r="J138" t="str">
        <f t="shared" si="18"/>
        <v>081201</v>
      </c>
      <c r="K138" t="s">
        <v>22</v>
      </c>
      <c r="L138" t="s">
        <v>23</v>
      </c>
      <c r="M138" t="str">
        <f t="shared" si="16"/>
        <v>1</v>
      </c>
      <c r="O138" t="str">
        <f t="shared" si="19"/>
        <v>1 </v>
      </c>
      <c r="P138">
        <v>399.2</v>
      </c>
      <c r="Q138" t="s">
        <v>27</v>
      </c>
    </row>
    <row r="139" spans="1:17" ht="15">
      <c r="A139" t="s">
        <v>17</v>
      </c>
      <c r="B139" s="1">
        <v>43180</v>
      </c>
      <c r="C139" t="s">
        <v>278</v>
      </c>
      <c r="D139" t="str">
        <f>CONCATENATE("0060000659","")</f>
        <v>0060000659</v>
      </c>
      <c r="E139" t="str">
        <f>CONCATENATE("0120101001480       ","")</f>
        <v>0120101001480       </v>
      </c>
      <c r="F139" t="str">
        <f>CONCATENATE("2126472","")</f>
        <v>2126472</v>
      </c>
      <c r="G139" t="s">
        <v>289</v>
      </c>
      <c r="H139" t="s">
        <v>306</v>
      </c>
      <c r="I139" t="s">
        <v>307</v>
      </c>
      <c r="J139" t="str">
        <f t="shared" si="18"/>
        <v>081201</v>
      </c>
      <c r="K139" t="s">
        <v>22</v>
      </c>
      <c r="L139" t="s">
        <v>23</v>
      </c>
      <c r="M139" t="str">
        <f t="shared" si="16"/>
        <v>1</v>
      </c>
      <c r="O139" t="str">
        <f t="shared" si="19"/>
        <v>1 </v>
      </c>
      <c r="P139">
        <v>11.5</v>
      </c>
      <c r="Q139" t="s">
        <v>27</v>
      </c>
    </row>
    <row r="140" spans="1:17" ht="15">
      <c r="A140" t="s">
        <v>17</v>
      </c>
      <c r="B140" s="1">
        <v>43180</v>
      </c>
      <c r="C140" t="s">
        <v>278</v>
      </c>
      <c r="D140" t="str">
        <f>CONCATENATE("0060000667","")</f>
        <v>0060000667</v>
      </c>
      <c r="E140" t="str">
        <f>CONCATENATE("0120101001540       ","")</f>
        <v>0120101001540       </v>
      </c>
      <c r="F140" t="str">
        <f>CONCATENATE("607548343","")</f>
        <v>607548343</v>
      </c>
      <c r="G140" t="s">
        <v>289</v>
      </c>
      <c r="H140" t="s">
        <v>308</v>
      </c>
      <c r="I140" t="s">
        <v>309</v>
      </c>
      <c r="J140" t="str">
        <f t="shared" si="18"/>
        <v>081201</v>
      </c>
      <c r="K140" t="s">
        <v>22</v>
      </c>
      <c r="L140" t="s">
        <v>23</v>
      </c>
      <c r="M140" t="str">
        <f t="shared" si="16"/>
        <v>1</v>
      </c>
      <c r="O140" t="str">
        <f t="shared" si="19"/>
        <v>1 </v>
      </c>
      <c r="P140">
        <v>839.1</v>
      </c>
      <c r="Q140" t="s">
        <v>27</v>
      </c>
    </row>
    <row r="141" spans="1:17" ht="15">
      <c r="A141" t="s">
        <v>17</v>
      </c>
      <c r="B141" s="1">
        <v>43180</v>
      </c>
      <c r="C141" t="s">
        <v>278</v>
      </c>
      <c r="D141" t="str">
        <f>CONCATENATE("0060000675","")</f>
        <v>0060000675</v>
      </c>
      <c r="E141" t="str">
        <f>CONCATENATE("0120101001610       ","")</f>
        <v>0120101001610       </v>
      </c>
      <c r="F141" t="str">
        <f>CONCATENATE("1861105","")</f>
        <v>1861105</v>
      </c>
      <c r="G141" t="s">
        <v>289</v>
      </c>
      <c r="H141" t="s">
        <v>310</v>
      </c>
      <c r="I141" t="s">
        <v>311</v>
      </c>
      <c r="J141" t="str">
        <f t="shared" si="18"/>
        <v>081201</v>
      </c>
      <c r="K141" t="s">
        <v>22</v>
      </c>
      <c r="L141" t="s">
        <v>23</v>
      </c>
      <c r="M141" t="str">
        <f t="shared" si="16"/>
        <v>1</v>
      </c>
      <c r="O141" t="str">
        <f t="shared" si="19"/>
        <v>1 </v>
      </c>
      <c r="P141">
        <v>45</v>
      </c>
      <c r="Q141" t="s">
        <v>27</v>
      </c>
    </row>
    <row r="142" spans="1:17" ht="15">
      <c r="A142" t="s">
        <v>17</v>
      </c>
      <c r="B142" s="1">
        <v>43180</v>
      </c>
      <c r="C142" t="s">
        <v>278</v>
      </c>
      <c r="D142" t="str">
        <f>CONCATENATE("0060000696","")</f>
        <v>0060000696</v>
      </c>
      <c r="E142" t="str">
        <f>CONCATENATE("0120101001721       ","")</f>
        <v>0120101001721       </v>
      </c>
      <c r="F142" t="str">
        <f>CONCATENATE("2150043","")</f>
        <v>2150043</v>
      </c>
      <c r="G142" t="s">
        <v>289</v>
      </c>
      <c r="H142" t="s">
        <v>312</v>
      </c>
      <c r="I142" t="s">
        <v>313</v>
      </c>
      <c r="J142" t="str">
        <f t="shared" si="18"/>
        <v>081201</v>
      </c>
      <c r="K142" t="s">
        <v>22</v>
      </c>
      <c r="L142" t="s">
        <v>23</v>
      </c>
      <c r="M142" t="str">
        <f t="shared" si="16"/>
        <v>1</v>
      </c>
      <c r="O142" t="str">
        <f t="shared" si="19"/>
        <v>1 </v>
      </c>
      <c r="P142">
        <v>61.95</v>
      </c>
      <c r="Q142" t="s">
        <v>27</v>
      </c>
    </row>
    <row r="143" spans="1:17" ht="15">
      <c r="A143" t="s">
        <v>17</v>
      </c>
      <c r="B143" s="1">
        <v>43180</v>
      </c>
      <c r="C143" t="s">
        <v>278</v>
      </c>
      <c r="D143" t="str">
        <f>CONCATENATE("0060000711","")</f>
        <v>0060000711</v>
      </c>
      <c r="E143" t="str">
        <f>CONCATENATE("0120101001795       ","")</f>
        <v>0120101001795       </v>
      </c>
      <c r="F143" t="str">
        <f>CONCATENATE("0605762875","")</f>
        <v>0605762875</v>
      </c>
      <c r="G143" t="s">
        <v>289</v>
      </c>
      <c r="H143" t="s">
        <v>314</v>
      </c>
      <c r="I143" t="s">
        <v>315</v>
      </c>
      <c r="J143" t="str">
        <f t="shared" si="18"/>
        <v>081201</v>
      </c>
      <c r="K143" t="s">
        <v>22</v>
      </c>
      <c r="L143" t="s">
        <v>23</v>
      </c>
      <c r="M143" t="str">
        <f t="shared" si="16"/>
        <v>1</v>
      </c>
      <c r="O143" t="str">
        <f t="shared" si="19"/>
        <v>1 </v>
      </c>
      <c r="P143">
        <v>279.1</v>
      </c>
      <c r="Q143" t="s">
        <v>27</v>
      </c>
    </row>
    <row r="144" spans="1:17" ht="15">
      <c r="A144" t="s">
        <v>17</v>
      </c>
      <c r="B144" s="1">
        <v>43180</v>
      </c>
      <c r="C144" t="s">
        <v>278</v>
      </c>
      <c r="D144" t="str">
        <f>CONCATENATE("0060008954","")</f>
        <v>0060008954</v>
      </c>
      <c r="E144" t="str">
        <f>CONCATENATE("0120101001827       ","")</f>
        <v>0120101001827       </v>
      </c>
      <c r="F144" t="str">
        <f>CONCATENATE("607660249","")</f>
        <v>607660249</v>
      </c>
      <c r="G144" t="s">
        <v>289</v>
      </c>
      <c r="H144" t="s">
        <v>316</v>
      </c>
      <c r="I144" t="s">
        <v>317</v>
      </c>
      <c r="J144" t="str">
        <f t="shared" si="18"/>
        <v>081201</v>
      </c>
      <c r="K144" t="s">
        <v>22</v>
      </c>
      <c r="L144" t="s">
        <v>23</v>
      </c>
      <c r="M144" t="str">
        <f t="shared" si="16"/>
        <v>1</v>
      </c>
      <c r="O144" t="str">
        <f t="shared" si="19"/>
        <v>1 </v>
      </c>
      <c r="P144">
        <v>27.35</v>
      </c>
      <c r="Q144" t="s">
        <v>27</v>
      </c>
    </row>
    <row r="145" spans="1:17" ht="15">
      <c r="A145" t="s">
        <v>17</v>
      </c>
      <c r="B145" s="1">
        <v>43180</v>
      </c>
      <c r="C145" t="s">
        <v>278</v>
      </c>
      <c r="D145" t="str">
        <f>CONCATENATE("0060019977","")</f>
        <v>0060019977</v>
      </c>
      <c r="E145" t="str">
        <f>CONCATENATE("0120101001959       ","")</f>
        <v>0120101001959       </v>
      </c>
      <c r="F145" t="str">
        <f>CONCATENATE("606756752","")</f>
        <v>606756752</v>
      </c>
      <c r="G145" t="s">
        <v>289</v>
      </c>
      <c r="H145" t="s">
        <v>318</v>
      </c>
      <c r="I145" t="s">
        <v>319</v>
      </c>
      <c r="J145" t="str">
        <f t="shared" si="18"/>
        <v>081201</v>
      </c>
      <c r="K145" t="s">
        <v>22</v>
      </c>
      <c r="L145" t="s">
        <v>23</v>
      </c>
      <c r="M145" t="str">
        <f t="shared" si="16"/>
        <v>1</v>
      </c>
      <c r="O145" t="str">
        <f t="shared" si="19"/>
        <v>1 </v>
      </c>
      <c r="P145">
        <v>66.75</v>
      </c>
      <c r="Q145" t="s">
        <v>27</v>
      </c>
    </row>
    <row r="146" spans="1:17" ht="15">
      <c r="A146" t="s">
        <v>17</v>
      </c>
      <c r="B146" s="1">
        <v>43180</v>
      </c>
      <c r="C146" t="s">
        <v>278</v>
      </c>
      <c r="D146" t="str">
        <f>CONCATENATE("0060000764","")</f>
        <v>0060000764</v>
      </c>
      <c r="E146" t="str">
        <f>CONCATENATE("0120102000120       ","")</f>
        <v>0120102000120       </v>
      </c>
      <c r="F146" t="str">
        <f>CONCATENATE("1868775","")</f>
        <v>1868775</v>
      </c>
      <c r="G146" t="s">
        <v>279</v>
      </c>
      <c r="H146" t="s">
        <v>320</v>
      </c>
      <c r="I146" t="s">
        <v>321</v>
      </c>
      <c r="J146" t="str">
        <f t="shared" si="18"/>
        <v>081201</v>
      </c>
      <c r="K146" t="s">
        <v>22</v>
      </c>
      <c r="L146" t="s">
        <v>23</v>
      </c>
      <c r="M146" t="str">
        <f t="shared" si="16"/>
        <v>1</v>
      </c>
      <c r="O146" t="str">
        <f t="shared" si="19"/>
        <v>1 </v>
      </c>
      <c r="P146">
        <v>18.6</v>
      </c>
      <c r="Q146" t="s">
        <v>27</v>
      </c>
    </row>
    <row r="147" spans="1:17" ht="15">
      <c r="A147" t="s">
        <v>17</v>
      </c>
      <c r="B147" s="1">
        <v>43180</v>
      </c>
      <c r="C147" t="s">
        <v>278</v>
      </c>
      <c r="D147" t="str">
        <f>CONCATENATE("0060008166","")</f>
        <v>0060008166</v>
      </c>
      <c r="E147" t="str">
        <f>CONCATENATE("0120102000225       ","")</f>
        <v>0120102000225       </v>
      </c>
      <c r="F147" t="str">
        <f>CONCATENATE("607428803","")</f>
        <v>607428803</v>
      </c>
      <c r="G147" t="s">
        <v>279</v>
      </c>
      <c r="H147" t="s">
        <v>322</v>
      </c>
      <c r="I147" t="s">
        <v>323</v>
      </c>
      <c r="J147" t="str">
        <f t="shared" si="18"/>
        <v>081201</v>
      </c>
      <c r="K147" t="s">
        <v>22</v>
      </c>
      <c r="L147" t="s">
        <v>23</v>
      </c>
      <c r="M147" t="str">
        <f>CONCATENATE("3","")</f>
        <v>3</v>
      </c>
      <c r="O147" t="str">
        <f t="shared" si="19"/>
        <v>1 </v>
      </c>
      <c r="P147">
        <v>238.05</v>
      </c>
      <c r="Q147" t="s">
        <v>24</v>
      </c>
    </row>
    <row r="148" spans="1:17" ht="15">
      <c r="A148" t="s">
        <v>17</v>
      </c>
      <c r="B148" s="1">
        <v>43180</v>
      </c>
      <c r="C148" t="s">
        <v>278</v>
      </c>
      <c r="D148" t="str">
        <f>CONCATENATE("0060009156","")</f>
        <v>0060009156</v>
      </c>
      <c r="E148" t="str">
        <f>CONCATENATE("0120102000301       ","")</f>
        <v>0120102000301       </v>
      </c>
      <c r="F148" t="str">
        <f>CONCATENATE("605760357","")</f>
        <v>605760357</v>
      </c>
      <c r="G148" t="s">
        <v>324</v>
      </c>
      <c r="H148" t="s">
        <v>325</v>
      </c>
      <c r="I148" t="s">
        <v>326</v>
      </c>
      <c r="J148" t="str">
        <f t="shared" si="18"/>
        <v>081201</v>
      </c>
      <c r="K148" t="s">
        <v>22</v>
      </c>
      <c r="L148" t="s">
        <v>23</v>
      </c>
      <c r="M148" t="str">
        <f aca="true" t="shared" si="20" ref="M148:M169">CONCATENATE("1","")</f>
        <v>1</v>
      </c>
      <c r="O148" t="str">
        <f t="shared" si="19"/>
        <v>1 </v>
      </c>
      <c r="P148">
        <v>33.8</v>
      </c>
      <c r="Q148" t="s">
        <v>27</v>
      </c>
    </row>
    <row r="149" spans="1:17" ht="15">
      <c r="A149" t="s">
        <v>17</v>
      </c>
      <c r="B149" s="1">
        <v>43180</v>
      </c>
      <c r="C149" t="s">
        <v>278</v>
      </c>
      <c r="D149" t="str">
        <f>CONCATENATE("0060008346","")</f>
        <v>0060008346</v>
      </c>
      <c r="E149" t="str">
        <f>CONCATENATE("0120102000385       ","")</f>
        <v>0120102000385       </v>
      </c>
      <c r="F149" t="str">
        <f>CONCATENATE("606854163","")</f>
        <v>606854163</v>
      </c>
      <c r="G149" t="s">
        <v>324</v>
      </c>
      <c r="H149" t="s">
        <v>327</v>
      </c>
      <c r="I149" t="s">
        <v>328</v>
      </c>
      <c r="J149" t="str">
        <f t="shared" si="18"/>
        <v>081201</v>
      </c>
      <c r="K149" t="s">
        <v>22</v>
      </c>
      <c r="L149" t="s">
        <v>23</v>
      </c>
      <c r="M149" t="str">
        <f t="shared" si="20"/>
        <v>1</v>
      </c>
      <c r="O149" t="str">
        <f t="shared" si="19"/>
        <v>1 </v>
      </c>
      <c r="P149">
        <v>31.15</v>
      </c>
      <c r="Q149" t="s">
        <v>27</v>
      </c>
    </row>
    <row r="150" spans="1:17" ht="15">
      <c r="A150" t="s">
        <v>17</v>
      </c>
      <c r="B150" s="1">
        <v>43180</v>
      </c>
      <c r="C150" t="s">
        <v>278</v>
      </c>
      <c r="D150" t="str">
        <f>CONCATENATE("0060000820","")</f>
        <v>0060000820</v>
      </c>
      <c r="E150" t="str">
        <f>CONCATENATE("0120102000440       ","")</f>
        <v>0120102000440       </v>
      </c>
      <c r="F150" t="str">
        <f>CONCATENATE("606590006","")</f>
        <v>606590006</v>
      </c>
      <c r="G150" t="s">
        <v>279</v>
      </c>
      <c r="H150" t="s">
        <v>329</v>
      </c>
      <c r="I150" t="s">
        <v>330</v>
      </c>
      <c r="J150" t="str">
        <f t="shared" si="18"/>
        <v>081201</v>
      </c>
      <c r="K150" t="s">
        <v>22</v>
      </c>
      <c r="L150" t="s">
        <v>23</v>
      </c>
      <c r="M150" t="str">
        <f t="shared" si="20"/>
        <v>1</v>
      </c>
      <c r="O150" t="str">
        <f t="shared" si="19"/>
        <v>1 </v>
      </c>
      <c r="P150">
        <v>91.9</v>
      </c>
      <c r="Q150" t="s">
        <v>27</v>
      </c>
    </row>
    <row r="151" spans="1:17" ht="15">
      <c r="A151" t="s">
        <v>17</v>
      </c>
      <c r="B151" s="1">
        <v>43180</v>
      </c>
      <c r="C151" t="s">
        <v>278</v>
      </c>
      <c r="D151" t="str">
        <f>CONCATENATE("0060018292","")</f>
        <v>0060018292</v>
      </c>
      <c r="E151" t="str">
        <f>CONCATENATE("0120102000511       ","")</f>
        <v>0120102000511       </v>
      </c>
      <c r="F151" t="str">
        <f>CONCATENATE("2185514","")</f>
        <v>2185514</v>
      </c>
      <c r="G151" t="s">
        <v>279</v>
      </c>
      <c r="H151" t="s">
        <v>331</v>
      </c>
      <c r="I151" t="s">
        <v>332</v>
      </c>
      <c r="J151" t="str">
        <f t="shared" si="18"/>
        <v>081201</v>
      </c>
      <c r="K151" t="s">
        <v>22</v>
      </c>
      <c r="L151" t="s">
        <v>23</v>
      </c>
      <c r="M151" t="str">
        <f t="shared" si="20"/>
        <v>1</v>
      </c>
      <c r="O151" t="str">
        <f t="shared" si="19"/>
        <v>1 </v>
      </c>
      <c r="P151">
        <v>21.3</v>
      </c>
      <c r="Q151" t="s">
        <v>27</v>
      </c>
    </row>
    <row r="152" spans="1:17" ht="15">
      <c r="A152" t="s">
        <v>17</v>
      </c>
      <c r="B152" s="1">
        <v>43180</v>
      </c>
      <c r="C152" t="s">
        <v>278</v>
      </c>
      <c r="D152" t="str">
        <f>CONCATENATE("0060000829","")</f>
        <v>0060000829</v>
      </c>
      <c r="E152" t="str">
        <f>CONCATENATE("0120102000513       ","")</f>
        <v>0120102000513       </v>
      </c>
      <c r="F152" t="str">
        <f>CONCATENATE("605760368","")</f>
        <v>605760368</v>
      </c>
      <c r="G152" t="s">
        <v>279</v>
      </c>
      <c r="H152" t="s">
        <v>333</v>
      </c>
      <c r="I152" t="s">
        <v>334</v>
      </c>
      <c r="J152" t="str">
        <f t="shared" si="18"/>
        <v>081201</v>
      </c>
      <c r="K152" t="s">
        <v>22</v>
      </c>
      <c r="L152" t="s">
        <v>23</v>
      </c>
      <c r="M152" t="str">
        <f t="shared" si="20"/>
        <v>1</v>
      </c>
      <c r="O152" t="str">
        <f t="shared" si="19"/>
        <v>1 </v>
      </c>
      <c r="P152">
        <v>10</v>
      </c>
      <c r="Q152" t="s">
        <v>27</v>
      </c>
    </row>
    <row r="153" spans="1:17" ht="15">
      <c r="A153" t="s">
        <v>17</v>
      </c>
      <c r="B153" s="1">
        <v>43180</v>
      </c>
      <c r="C153" t="s">
        <v>278</v>
      </c>
      <c r="D153" t="str">
        <f>CONCATENATE("0060019939","")</f>
        <v>0060019939</v>
      </c>
      <c r="E153" t="str">
        <f>CONCATENATE("0120102000565       ","")</f>
        <v>0120102000565       </v>
      </c>
      <c r="F153" t="str">
        <f>CONCATENATE("606746376","")</f>
        <v>606746376</v>
      </c>
      <c r="G153" t="s">
        <v>279</v>
      </c>
      <c r="H153" t="s">
        <v>335</v>
      </c>
      <c r="I153" t="s">
        <v>336</v>
      </c>
      <c r="J153" t="str">
        <f t="shared" si="18"/>
        <v>081201</v>
      </c>
      <c r="K153" t="s">
        <v>22</v>
      </c>
      <c r="L153" t="s">
        <v>23</v>
      </c>
      <c r="M153" t="str">
        <f t="shared" si="20"/>
        <v>1</v>
      </c>
      <c r="O153" t="str">
        <f t="shared" si="19"/>
        <v>1 </v>
      </c>
      <c r="P153">
        <v>50.85</v>
      </c>
      <c r="Q153" t="s">
        <v>27</v>
      </c>
    </row>
    <row r="154" spans="1:17" ht="15">
      <c r="A154" t="s">
        <v>17</v>
      </c>
      <c r="B154" s="1">
        <v>43180</v>
      </c>
      <c r="C154" t="s">
        <v>278</v>
      </c>
      <c r="D154" t="str">
        <f>CONCATENATE("0060016793","")</f>
        <v>0060016793</v>
      </c>
      <c r="E154" t="str">
        <f>CONCATENATE("0120102000575       ","")</f>
        <v>0120102000575       </v>
      </c>
      <c r="F154" t="str">
        <f>CONCATENATE("606669776","")</f>
        <v>606669776</v>
      </c>
      <c r="G154" t="s">
        <v>279</v>
      </c>
      <c r="H154" t="s">
        <v>337</v>
      </c>
      <c r="I154" t="s">
        <v>338</v>
      </c>
      <c r="J154" t="str">
        <f t="shared" si="18"/>
        <v>081201</v>
      </c>
      <c r="K154" t="s">
        <v>22</v>
      </c>
      <c r="L154" t="s">
        <v>23</v>
      </c>
      <c r="M154" t="str">
        <f t="shared" si="20"/>
        <v>1</v>
      </c>
      <c r="O154" t="str">
        <f t="shared" si="19"/>
        <v>1 </v>
      </c>
      <c r="P154">
        <v>165.3</v>
      </c>
      <c r="Q154" t="s">
        <v>27</v>
      </c>
    </row>
    <row r="155" spans="1:17" ht="15">
      <c r="A155" t="s">
        <v>17</v>
      </c>
      <c r="B155" s="1">
        <v>43180</v>
      </c>
      <c r="C155" t="s">
        <v>278</v>
      </c>
      <c r="D155" t="str">
        <f>CONCATENATE("0060000851","")</f>
        <v>0060000851</v>
      </c>
      <c r="E155" t="str">
        <f>CONCATENATE("0120102000700       ","")</f>
        <v>0120102000700       </v>
      </c>
      <c r="F155" t="str">
        <f>CONCATENATE("1862088","")</f>
        <v>1862088</v>
      </c>
      <c r="G155" t="s">
        <v>279</v>
      </c>
      <c r="H155" t="s">
        <v>339</v>
      </c>
      <c r="I155" t="s">
        <v>340</v>
      </c>
      <c r="J155" t="str">
        <f t="shared" si="18"/>
        <v>081201</v>
      </c>
      <c r="K155" t="s">
        <v>22</v>
      </c>
      <c r="L155" t="s">
        <v>23</v>
      </c>
      <c r="M155" t="str">
        <f t="shared" si="20"/>
        <v>1</v>
      </c>
      <c r="O155" t="str">
        <f t="shared" si="19"/>
        <v>1 </v>
      </c>
      <c r="P155">
        <v>11.15</v>
      </c>
      <c r="Q155" t="s">
        <v>27</v>
      </c>
    </row>
    <row r="156" spans="1:17" ht="15">
      <c r="A156" t="s">
        <v>17</v>
      </c>
      <c r="B156" s="1">
        <v>43180</v>
      </c>
      <c r="C156" t="s">
        <v>278</v>
      </c>
      <c r="D156" t="str">
        <f>CONCATENATE("0060000876","")</f>
        <v>0060000876</v>
      </c>
      <c r="E156" t="str">
        <f>CONCATENATE("0120102000910       ","")</f>
        <v>0120102000910       </v>
      </c>
      <c r="F156" t="str">
        <f>CONCATENATE("1869762","")</f>
        <v>1869762</v>
      </c>
      <c r="G156" t="s">
        <v>279</v>
      </c>
      <c r="H156" t="s">
        <v>341</v>
      </c>
      <c r="I156" t="s">
        <v>342</v>
      </c>
      <c r="J156" t="str">
        <f t="shared" si="18"/>
        <v>081201</v>
      </c>
      <c r="K156" t="s">
        <v>22</v>
      </c>
      <c r="L156" t="s">
        <v>23</v>
      </c>
      <c r="M156" t="str">
        <f t="shared" si="20"/>
        <v>1</v>
      </c>
      <c r="O156" t="str">
        <f t="shared" si="19"/>
        <v>1 </v>
      </c>
      <c r="P156">
        <v>23.4</v>
      </c>
      <c r="Q156" t="s">
        <v>27</v>
      </c>
    </row>
    <row r="157" spans="1:17" ht="15">
      <c r="A157" t="s">
        <v>17</v>
      </c>
      <c r="B157" s="1">
        <v>43180</v>
      </c>
      <c r="C157" t="s">
        <v>278</v>
      </c>
      <c r="D157" t="str">
        <f>CONCATENATE("0060000889","")</f>
        <v>0060000889</v>
      </c>
      <c r="E157" t="str">
        <f>CONCATENATE("0120102001010       ","")</f>
        <v>0120102001010       </v>
      </c>
      <c r="F157" t="str">
        <f>CONCATENATE("1869770","")</f>
        <v>1869770</v>
      </c>
      <c r="G157" t="s">
        <v>279</v>
      </c>
      <c r="H157" t="s">
        <v>343</v>
      </c>
      <c r="I157" t="s">
        <v>344</v>
      </c>
      <c r="J157" t="str">
        <f t="shared" si="18"/>
        <v>081201</v>
      </c>
      <c r="K157" t="s">
        <v>22</v>
      </c>
      <c r="L157" t="s">
        <v>23</v>
      </c>
      <c r="M157" t="str">
        <f t="shared" si="20"/>
        <v>1</v>
      </c>
      <c r="O157" t="str">
        <f t="shared" si="19"/>
        <v>1 </v>
      </c>
      <c r="P157">
        <v>91.85</v>
      </c>
      <c r="Q157" t="s">
        <v>27</v>
      </c>
    </row>
    <row r="158" spans="1:17" ht="15">
      <c r="A158" t="s">
        <v>17</v>
      </c>
      <c r="B158" s="1">
        <v>43180</v>
      </c>
      <c r="C158" t="s">
        <v>278</v>
      </c>
      <c r="D158" t="str">
        <f>CONCATENATE("0060000909","")</f>
        <v>0060000909</v>
      </c>
      <c r="E158" t="str">
        <f>CONCATENATE("0120102001230       ","")</f>
        <v>0120102001230       </v>
      </c>
      <c r="F158" t="str">
        <f>CONCATENATE("1942272","")</f>
        <v>1942272</v>
      </c>
      <c r="G158" t="s">
        <v>279</v>
      </c>
      <c r="H158" t="s">
        <v>345</v>
      </c>
      <c r="I158" t="s">
        <v>346</v>
      </c>
      <c r="J158" t="str">
        <f aca="true" t="shared" si="21" ref="J158:J189">CONCATENATE("081201","")</f>
        <v>081201</v>
      </c>
      <c r="K158" t="s">
        <v>22</v>
      </c>
      <c r="L158" t="s">
        <v>23</v>
      </c>
      <c r="M158" t="str">
        <f t="shared" si="20"/>
        <v>1</v>
      </c>
      <c r="O158" t="str">
        <f t="shared" si="19"/>
        <v>1 </v>
      </c>
      <c r="P158">
        <v>434.8</v>
      </c>
      <c r="Q158" t="s">
        <v>27</v>
      </c>
    </row>
    <row r="159" spans="1:17" ht="15">
      <c r="A159" t="s">
        <v>17</v>
      </c>
      <c r="B159" s="1">
        <v>43180</v>
      </c>
      <c r="C159" t="s">
        <v>278</v>
      </c>
      <c r="D159" t="str">
        <f>CONCATENATE("0060000911","")</f>
        <v>0060000911</v>
      </c>
      <c r="E159" t="str">
        <f>CONCATENATE("0120102001245       ","")</f>
        <v>0120102001245       </v>
      </c>
      <c r="F159" t="str">
        <f>CONCATENATE("605085093","")</f>
        <v>605085093</v>
      </c>
      <c r="G159" t="s">
        <v>279</v>
      </c>
      <c r="H159" t="s">
        <v>347</v>
      </c>
      <c r="I159" t="s">
        <v>348</v>
      </c>
      <c r="J159" t="str">
        <f t="shared" si="21"/>
        <v>081201</v>
      </c>
      <c r="K159" t="s">
        <v>22</v>
      </c>
      <c r="L159" t="s">
        <v>23</v>
      </c>
      <c r="M159" t="str">
        <f t="shared" si="20"/>
        <v>1</v>
      </c>
      <c r="O159" t="str">
        <f t="shared" si="19"/>
        <v>1 </v>
      </c>
      <c r="P159">
        <v>48.05</v>
      </c>
      <c r="Q159" t="s">
        <v>27</v>
      </c>
    </row>
    <row r="160" spans="1:17" ht="15">
      <c r="A160" t="s">
        <v>17</v>
      </c>
      <c r="B160" s="1">
        <v>43180</v>
      </c>
      <c r="C160" t="s">
        <v>278</v>
      </c>
      <c r="D160" t="str">
        <f>CONCATENATE("0060010235","")</f>
        <v>0060010235</v>
      </c>
      <c r="E160" t="str">
        <f>CONCATENATE("0120102002310       ","")</f>
        <v>0120102002310       </v>
      </c>
      <c r="F160" t="str">
        <f>CONCATENATE("1868403","")</f>
        <v>1868403</v>
      </c>
      <c r="G160" t="s">
        <v>279</v>
      </c>
      <c r="H160" t="s">
        <v>349</v>
      </c>
      <c r="I160" t="s">
        <v>350</v>
      </c>
      <c r="J160" t="str">
        <f t="shared" si="21"/>
        <v>081201</v>
      </c>
      <c r="K160" t="s">
        <v>22</v>
      </c>
      <c r="L160" t="s">
        <v>23</v>
      </c>
      <c r="M160" t="str">
        <f t="shared" si="20"/>
        <v>1</v>
      </c>
      <c r="O160" t="str">
        <f t="shared" si="19"/>
        <v>1 </v>
      </c>
      <c r="P160">
        <v>54.9</v>
      </c>
      <c r="Q160" t="s">
        <v>27</v>
      </c>
    </row>
    <row r="161" spans="1:17" ht="15">
      <c r="A161" t="s">
        <v>17</v>
      </c>
      <c r="B161" s="1">
        <v>43180</v>
      </c>
      <c r="C161" t="s">
        <v>278</v>
      </c>
      <c r="D161" t="str">
        <f>CONCATENATE("0060010274","")</f>
        <v>0060010274</v>
      </c>
      <c r="E161" t="str">
        <f>CONCATENATE("0120102002430       ","")</f>
        <v>0120102002430       </v>
      </c>
      <c r="F161" t="str">
        <f>CONCATENATE("607295394","")</f>
        <v>607295394</v>
      </c>
      <c r="G161" t="s">
        <v>279</v>
      </c>
      <c r="H161" t="s">
        <v>351</v>
      </c>
      <c r="I161" t="s">
        <v>352</v>
      </c>
      <c r="J161" t="str">
        <f t="shared" si="21"/>
        <v>081201</v>
      </c>
      <c r="K161" t="s">
        <v>22</v>
      </c>
      <c r="L161" t="s">
        <v>23</v>
      </c>
      <c r="M161" t="str">
        <f t="shared" si="20"/>
        <v>1</v>
      </c>
      <c r="O161" t="str">
        <f t="shared" si="19"/>
        <v>1 </v>
      </c>
      <c r="P161">
        <v>61.75</v>
      </c>
      <c r="Q161" t="s">
        <v>27</v>
      </c>
    </row>
    <row r="162" spans="1:17" ht="15">
      <c r="A162" t="s">
        <v>17</v>
      </c>
      <c r="B162" s="1">
        <v>43180</v>
      </c>
      <c r="C162" t="s">
        <v>278</v>
      </c>
      <c r="D162" t="str">
        <f>CONCATENATE("0060018297","")</f>
        <v>0060018297</v>
      </c>
      <c r="E162" t="str">
        <f>CONCATENATE("0120102002510       ","")</f>
        <v>0120102002510       </v>
      </c>
      <c r="F162" t="str">
        <f>CONCATENATE("2180750","")</f>
        <v>2180750</v>
      </c>
      <c r="G162" t="s">
        <v>279</v>
      </c>
      <c r="H162" t="s">
        <v>353</v>
      </c>
      <c r="I162" t="s">
        <v>354</v>
      </c>
      <c r="J162" t="str">
        <f t="shared" si="21"/>
        <v>081201</v>
      </c>
      <c r="K162" t="s">
        <v>22</v>
      </c>
      <c r="L162" t="s">
        <v>23</v>
      </c>
      <c r="M162" t="str">
        <f t="shared" si="20"/>
        <v>1</v>
      </c>
      <c r="O162" t="str">
        <f t="shared" si="19"/>
        <v>1 </v>
      </c>
      <c r="P162">
        <v>12.2</v>
      </c>
      <c r="Q162" t="s">
        <v>27</v>
      </c>
    </row>
    <row r="163" spans="1:17" ht="15">
      <c r="A163" t="s">
        <v>17</v>
      </c>
      <c r="B163" s="1">
        <v>43180</v>
      </c>
      <c r="C163" t="s">
        <v>278</v>
      </c>
      <c r="D163" t="str">
        <f>CONCATENATE("0060000940","")</f>
        <v>0060000940</v>
      </c>
      <c r="E163" t="str">
        <f>CONCATENATE("0120103000090       ","")</f>
        <v>0120103000090       </v>
      </c>
      <c r="F163" t="str">
        <f>CONCATENATE("2122547","")</f>
        <v>2122547</v>
      </c>
      <c r="G163" t="s">
        <v>279</v>
      </c>
      <c r="H163" t="s">
        <v>355</v>
      </c>
      <c r="I163" t="s">
        <v>356</v>
      </c>
      <c r="J163" t="str">
        <f t="shared" si="21"/>
        <v>081201</v>
      </c>
      <c r="K163" t="s">
        <v>22</v>
      </c>
      <c r="L163" t="s">
        <v>23</v>
      </c>
      <c r="M163" t="str">
        <f t="shared" si="20"/>
        <v>1</v>
      </c>
      <c r="O163" t="str">
        <f t="shared" si="19"/>
        <v>1 </v>
      </c>
      <c r="P163">
        <v>22.5</v>
      </c>
      <c r="Q163" t="s">
        <v>27</v>
      </c>
    </row>
    <row r="164" spans="1:17" ht="15">
      <c r="A164" t="s">
        <v>17</v>
      </c>
      <c r="B164" s="1">
        <v>43180</v>
      </c>
      <c r="C164" t="s">
        <v>278</v>
      </c>
      <c r="D164" t="str">
        <f>CONCATENATE("0060025548","")</f>
        <v>0060025548</v>
      </c>
      <c r="E164" t="str">
        <f>CONCATENATE("0120103000247       ","")</f>
        <v>0120103000247       </v>
      </c>
      <c r="F164" t="str">
        <f>CONCATENATE("607656131","")</f>
        <v>607656131</v>
      </c>
      <c r="G164" t="s">
        <v>279</v>
      </c>
      <c r="H164" t="s">
        <v>357</v>
      </c>
      <c r="I164" t="s">
        <v>358</v>
      </c>
      <c r="J164" t="str">
        <f t="shared" si="21"/>
        <v>081201</v>
      </c>
      <c r="K164" t="s">
        <v>22</v>
      </c>
      <c r="L164" t="s">
        <v>23</v>
      </c>
      <c r="M164" t="str">
        <f t="shared" si="20"/>
        <v>1</v>
      </c>
      <c r="N164" t="str">
        <f>CONCATENATE("958756767","")</f>
        <v>958756767</v>
      </c>
      <c r="O164" t="str">
        <f t="shared" si="19"/>
        <v>1 </v>
      </c>
      <c r="P164">
        <v>23.6</v>
      </c>
      <c r="Q164" t="s">
        <v>27</v>
      </c>
    </row>
    <row r="165" spans="1:17" ht="15">
      <c r="A165" t="s">
        <v>17</v>
      </c>
      <c r="B165" s="1">
        <v>43180</v>
      </c>
      <c r="C165" t="s">
        <v>278</v>
      </c>
      <c r="D165" t="str">
        <f>CONCATENATE("0060016744","")</f>
        <v>0060016744</v>
      </c>
      <c r="E165" t="str">
        <f>CONCATENATE("0120103000748       ","")</f>
        <v>0120103000748       </v>
      </c>
      <c r="F165" t="str">
        <f>CONCATENATE("1931402","")</f>
        <v>1931402</v>
      </c>
      <c r="G165" t="s">
        <v>359</v>
      </c>
      <c r="H165" t="s">
        <v>360</v>
      </c>
      <c r="I165" t="s">
        <v>361</v>
      </c>
      <c r="J165" t="str">
        <f t="shared" si="21"/>
        <v>081201</v>
      </c>
      <c r="K165" t="s">
        <v>22</v>
      </c>
      <c r="L165" t="s">
        <v>23</v>
      </c>
      <c r="M165" t="str">
        <f t="shared" si="20"/>
        <v>1</v>
      </c>
      <c r="O165" t="str">
        <f t="shared" si="19"/>
        <v>1 </v>
      </c>
      <c r="P165">
        <v>52.3</v>
      </c>
      <c r="Q165" t="s">
        <v>27</v>
      </c>
    </row>
    <row r="166" spans="1:17" ht="15">
      <c r="A166" t="s">
        <v>17</v>
      </c>
      <c r="B166" s="1">
        <v>43180</v>
      </c>
      <c r="C166" t="s">
        <v>278</v>
      </c>
      <c r="D166" t="str">
        <f>CONCATENATE("0060001063","")</f>
        <v>0060001063</v>
      </c>
      <c r="E166" t="str">
        <f>CONCATENATE("0120103000770       ","")</f>
        <v>0120103000770       </v>
      </c>
      <c r="F166" t="str">
        <f>CONCATENATE("2190876","")</f>
        <v>2190876</v>
      </c>
      <c r="G166" t="s">
        <v>362</v>
      </c>
      <c r="H166" t="s">
        <v>363</v>
      </c>
      <c r="I166" t="s">
        <v>364</v>
      </c>
      <c r="J166" t="str">
        <f t="shared" si="21"/>
        <v>081201</v>
      </c>
      <c r="K166" t="s">
        <v>22</v>
      </c>
      <c r="L166" t="s">
        <v>23</v>
      </c>
      <c r="M166" t="str">
        <f t="shared" si="20"/>
        <v>1</v>
      </c>
      <c r="O166" t="str">
        <f t="shared" si="19"/>
        <v>1 </v>
      </c>
      <c r="P166">
        <v>231.7</v>
      </c>
      <c r="Q166" t="s">
        <v>27</v>
      </c>
    </row>
    <row r="167" spans="1:17" ht="15">
      <c r="A167" t="s">
        <v>17</v>
      </c>
      <c r="B167" s="1">
        <v>43180</v>
      </c>
      <c r="C167" t="s">
        <v>278</v>
      </c>
      <c r="D167" t="str">
        <f>CONCATENATE("0060011974","")</f>
        <v>0060011974</v>
      </c>
      <c r="E167" t="str">
        <f>CONCATENATE("0120103001185       ","")</f>
        <v>0120103001185       </v>
      </c>
      <c r="F167" t="str">
        <f>CONCATENATE("605120890","")</f>
        <v>605120890</v>
      </c>
      <c r="G167" t="s">
        <v>362</v>
      </c>
      <c r="H167" t="s">
        <v>365</v>
      </c>
      <c r="I167" t="s">
        <v>366</v>
      </c>
      <c r="J167" t="str">
        <f t="shared" si="21"/>
        <v>081201</v>
      </c>
      <c r="K167" t="s">
        <v>22</v>
      </c>
      <c r="L167" t="s">
        <v>23</v>
      </c>
      <c r="M167" t="str">
        <f t="shared" si="20"/>
        <v>1</v>
      </c>
      <c r="O167" t="str">
        <f t="shared" si="19"/>
        <v>1 </v>
      </c>
      <c r="P167">
        <v>100.65</v>
      </c>
      <c r="Q167" t="s">
        <v>27</v>
      </c>
    </row>
    <row r="168" spans="1:17" ht="15">
      <c r="A168" t="s">
        <v>17</v>
      </c>
      <c r="B168" s="1">
        <v>43180</v>
      </c>
      <c r="C168" t="s">
        <v>278</v>
      </c>
      <c r="D168" t="str">
        <f>CONCATENATE("0060001215","")</f>
        <v>0060001215</v>
      </c>
      <c r="E168" t="str">
        <f>CONCATENATE("0120103001710       ","")</f>
        <v>0120103001710       </v>
      </c>
      <c r="F168" t="str">
        <f>CONCATENATE("1866480","")</f>
        <v>1866480</v>
      </c>
      <c r="G168" t="s">
        <v>362</v>
      </c>
      <c r="H168" t="s">
        <v>367</v>
      </c>
      <c r="I168" t="s">
        <v>368</v>
      </c>
      <c r="J168" t="str">
        <f t="shared" si="21"/>
        <v>081201</v>
      </c>
      <c r="K168" t="s">
        <v>22</v>
      </c>
      <c r="L168" t="s">
        <v>23</v>
      </c>
      <c r="M168" t="str">
        <f t="shared" si="20"/>
        <v>1</v>
      </c>
      <c r="O168" t="str">
        <f t="shared" si="19"/>
        <v>1 </v>
      </c>
      <c r="P168">
        <v>85.75</v>
      </c>
      <c r="Q168" t="s">
        <v>27</v>
      </c>
    </row>
    <row r="169" spans="1:17" ht="15">
      <c r="A169" t="s">
        <v>17</v>
      </c>
      <c r="B169" s="1">
        <v>43180</v>
      </c>
      <c r="C169" t="s">
        <v>278</v>
      </c>
      <c r="D169" t="str">
        <f>CONCATENATE("0060019446","")</f>
        <v>0060019446</v>
      </c>
      <c r="E169" t="str">
        <f>CONCATENATE("0120103001723       ","")</f>
        <v>0120103001723       </v>
      </c>
      <c r="F169" t="str">
        <f>CONCATENATE("606670740","")</f>
        <v>606670740</v>
      </c>
      <c r="G169" t="s">
        <v>362</v>
      </c>
      <c r="H169" t="s">
        <v>369</v>
      </c>
      <c r="I169" t="s">
        <v>370</v>
      </c>
      <c r="J169" t="str">
        <f t="shared" si="21"/>
        <v>081201</v>
      </c>
      <c r="K169" t="s">
        <v>22</v>
      </c>
      <c r="L169" t="s">
        <v>23</v>
      </c>
      <c r="M169" t="str">
        <f t="shared" si="20"/>
        <v>1</v>
      </c>
      <c r="O169" t="str">
        <f t="shared" si="19"/>
        <v>1 </v>
      </c>
      <c r="P169">
        <v>51.3</v>
      </c>
      <c r="Q169" t="s">
        <v>27</v>
      </c>
    </row>
    <row r="170" spans="1:17" ht="15">
      <c r="A170" t="s">
        <v>17</v>
      </c>
      <c r="B170" s="1">
        <v>43180</v>
      </c>
      <c r="C170" t="s">
        <v>278</v>
      </c>
      <c r="D170" t="str">
        <f>CONCATENATE("0060001223","")</f>
        <v>0060001223</v>
      </c>
      <c r="E170" t="str">
        <f>CONCATENATE("0120103001735       ","")</f>
        <v>0120103001735       </v>
      </c>
      <c r="F170" t="str">
        <f>CONCATENATE("507031156","")</f>
        <v>507031156</v>
      </c>
      <c r="G170" t="s">
        <v>362</v>
      </c>
      <c r="H170" t="s">
        <v>371</v>
      </c>
      <c r="I170" t="s">
        <v>372</v>
      </c>
      <c r="J170" t="str">
        <f t="shared" si="21"/>
        <v>081201</v>
      </c>
      <c r="K170" t="s">
        <v>22</v>
      </c>
      <c r="L170" t="s">
        <v>23</v>
      </c>
      <c r="M170" t="str">
        <f>CONCATENATE("3","")</f>
        <v>3</v>
      </c>
      <c r="O170" t="str">
        <f t="shared" si="19"/>
        <v>1 </v>
      </c>
      <c r="P170">
        <v>226.3</v>
      </c>
      <c r="Q170" t="s">
        <v>24</v>
      </c>
    </row>
    <row r="171" spans="1:17" ht="15">
      <c r="A171" t="s">
        <v>17</v>
      </c>
      <c r="B171" s="1">
        <v>43180</v>
      </c>
      <c r="C171" t="s">
        <v>278</v>
      </c>
      <c r="D171" t="str">
        <f>CONCATENATE("0060001251","")</f>
        <v>0060001251</v>
      </c>
      <c r="E171" t="str">
        <f>CONCATENATE("0120103001880       ","")</f>
        <v>0120103001880       </v>
      </c>
      <c r="F171" t="str">
        <f>CONCATENATE("2173007","")</f>
        <v>2173007</v>
      </c>
      <c r="G171" t="s">
        <v>289</v>
      </c>
      <c r="H171" t="s">
        <v>373</v>
      </c>
      <c r="I171" t="s">
        <v>374</v>
      </c>
      <c r="J171" t="str">
        <f t="shared" si="21"/>
        <v>081201</v>
      </c>
      <c r="K171" t="s">
        <v>22</v>
      </c>
      <c r="L171" t="s">
        <v>23</v>
      </c>
      <c r="M171" t="str">
        <f>CONCATENATE("1","")</f>
        <v>1</v>
      </c>
      <c r="O171" t="str">
        <f t="shared" si="19"/>
        <v>1 </v>
      </c>
      <c r="P171">
        <v>143.6</v>
      </c>
      <c r="Q171" t="s">
        <v>27</v>
      </c>
    </row>
    <row r="172" spans="1:17" ht="15">
      <c r="A172" t="s">
        <v>17</v>
      </c>
      <c r="B172" s="1">
        <v>43180</v>
      </c>
      <c r="C172" t="s">
        <v>278</v>
      </c>
      <c r="D172" t="str">
        <f>CONCATENATE("0060019466","")</f>
        <v>0060019466</v>
      </c>
      <c r="E172" t="str">
        <f>CONCATENATE("0120103001997       ","")</f>
        <v>0120103001997       </v>
      </c>
      <c r="F172" t="str">
        <f>CONCATENATE("607639492","")</f>
        <v>607639492</v>
      </c>
      <c r="G172" t="s">
        <v>289</v>
      </c>
      <c r="H172" t="s">
        <v>375</v>
      </c>
      <c r="I172" t="s">
        <v>376</v>
      </c>
      <c r="J172" t="str">
        <f t="shared" si="21"/>
        <v>081201</v>
      </c>
      <c r="K172" t="s">
        <v>22</v>
      </c>
      <c r="L172" t="s">
        <v>23</v>
      </c>
      <c r="M172" t="str">
        <f>CONCATENATE("3","")</f>
        <v>3</v>
      </c>
      <c r="O172" t="str">
        <f t="shared" si="19"/>
        <v>1 </v>
      </c>
      <c r="P172">
        <v>75.25</v>
      </c>
      <c r="Q172" t="s">
        <v>24</v>
      </c>
    </row>
    <row r="173" spans="1:17" ht="15">
      <c r="A173" t="s">
        <v>17</v>
      </c>
      <c r="B173" s="1">
        <v>43180</v>
      </c>
      <c r="C173" t="s">
        <v>278</v>
      </c>
      <c r="D173" t="str">
        <f>CONCATENATE("0060001311","")</f>
        <v>0060001311</v>
      </c>
      <c r="E173" t="str">
        <f>CONCATENATE("0120103002342       ","")</f>
        <v>0120103002342       </v>
      </c>
      <c r="F173" t="str">
        <f>CONCATENATE("1661016","")</f>
        <v>1661016</v>
      </c>
      <c r="G173" t="s">
        <v>362</v>
      </c>
      <c r="H173" t="s">
        <v>377</v>
      </c>
      <c r="I173" t="s">
        <v>378</v>
      </c>
      <c r="J173" t="str">
        <f t="shared" si="21"/>
        <v>081201</v>
      </c>
      <c r="K173" t="s">
        <v>22</v>
      </c>
      <c r="L173" t="s">
        <v>23</v>
      </c>
      <c r="M173" t="str">
        <f>CONCATENATE("1","")</f>
        <v>1</v>
      </c>
      <c r="O173" t="str">
        <f t="shared" si="19"/>
        <v>1 </v>
      </c>
      <c r="P173">
        <v>80.95</v>
      </c>
      <c r="Q173" t="s">
        <v>27</v>
      </c>
    </row>
    <row r="174" spans="1:17" ht="15">
      <c r="A174" t="s">
        <v>17</v>
      </c>
      <c r="B174" s="1">
        <v>43180</v>
      </c>
      <c r="C174" t="s">
        <v>278</v>
      </c>
      <c r="D174" t="str">
        <f>CONCATENATE("0060009984","")</f>
        <v>0060009984</v>
      </c>
      <c r="E174" t="str">
        <f>CONCATENATE("0120104000072       ","")</f>
        <v>0120104000072       </v>
      </c>
      <c r="F174" t="str">
        <f>CONCATENATE("607306974","")</f>
        <v>607306974</v>
      </c>
      <c r="G174" t="s">
        <v>379</v>
      </c>
      <c r="H174" t="s">
        <v>380</v>
      </c>
      <c r="I174" t="s">
        <v>381</v>
      </c>
      <c r="J174" t="str">
        <f t="shared" si="21"/>
        <v>081201</v>
      </c>
      <c r="K174" t="s">
        <v>22</v>
      </c>
      <c r="L174" t="s">
        <v>23</v>
      </c>
      <c r="M174" t="str">
        <f>CONCATENATE("1","")</f>
        <v>1</v>
      </c>
      <c r="O174" t="str">
        <f t="shared" si="19"/>
        <v>1 </v>
      </c>
      <c r="P174">
        <v>88.7</v>
      </c>
      <c r="Q174" t="s">
        <v>27</v>
      </c>
    </row>
    <row r="175" spans="1:17" ht="15">
      <c r="A175" t="s">
        <v>17</v>
      </c>
      <c r="B175" s="1">
        <v>43180</v>
      </c>
      <c r="C175" t="s">
        <v>278</v>
      </c>
      <c r="D175" t="str">
        <f>CONCATENATE("0060001040","")</f>
        <v>0060001040</v>
      </c>
      <c r="E175" t="str">
        <f>CONCATENATE("0120104000145       ","")</f>
        <v>0120104000145       </v>
      </c>
      <c r="F175" t="str">
        <f>CONCATENATE("2150308","")</f>
        <v>2150308</v>
      </c>
      <c r="G175" t="s">
        <v>379</v>
      </c>
      <c r="H175" t="s">
        <v>382</v>
      </c>
      <c r="I175" t="s">
        <v>383</v>
      </c>
      <c r="J175" t="str">
        <f t="shared" si="21"/>
        <v>081201</v>
      </c>
      <c r="K175" t="s">
        <v>22</v>
      </c>
      <c r="L175" t="s">
        <v>23</v>
      </c>
      <c r="M175" t="str">
        <f>CONCATENATE("1","")</f>
        <v>1</v>
      </c>
      <c r="O175" t="str">
        <f t="shared" si="19"/>
        <v>1 </v>
      </c>
      <c r="P175">
        <v>9.7</v>
      </c>
      <c r="Q175" t="s">
        <v>27</v>
      </c>
    </row>
    <row r="176" spans="1:17" ht="15">
      <c r="A176" t="s">
        <v>17</v>
      </c>
      <c r="B176" s="1">
        <v>43180</v>
      </c>
      <c r="C176" t="s">
        <v>278</v>
      </c>
      <c r="D176" t="str">
        <f>CONCATENATE("0060001341","")</f>
        <v>0060001341</v>
      </c>
      <c r="E176" t="str">
        <f>CONCATENATE("0120104000162       ","")</f>
        <v>0120104000162       </v>
      </c>
      <c r="F176" t="str">
        <f>CONCATENATE("1865395","")</f>
        <v>1865395</v>
      </c>
      <c r="G176" t="s">
        <v>379</v>
      </c>
      <c r="H176" t="s">
        <v>384</v>
      </c>
      <c r="I176" t="s">
        <v>385</v>
      </c>
      <c r="J176" t="str">
        <f t="shared" si="21"/>
        <v>081201</v>
      </c>
      <c r="K176" t="s">
        <v>22</v>
      </c>
      <c r="L176" t="s">
        <v>23</v>
      </c>
      <c r="M176" t="str">
        <f>CONCATENATE("1","")</f>
        <v>1</v>
      </c>
      <c r="O176" t="str">
        <f t="shared" si="19"/>
        <v>1 </v>
      </c>
      <c r="P176">
        <v>83.2</v>
      </c>
      <c r="Q176" t="s">
        <v>27</v>
      </c>
    </row>
    <row r="177" spans="1:17" ht="15">
      <c r="A177" t="s">
        <v>17</v>
      </c>
      <c r="B177" s="1">
        <v>43180</v>
      </c>
      <c r="C177" t="s">
        <v>278</v>
      </c>
      <c r="D177" t="str">
        <f>CONCATENATE("0060021713","")</f>
        <v>0060021713</v>
      </c>
      <c r="E177" t="str">
        <f>CONCATENATE("0120104000177       ","")</f>
        <v>0120104000177       </v>
      </c>
      <c r="F177" t="str">
        <f>CONCATENATE("607538281","")</f>
        <v>607538281</v>
      </c>
      <c r="G177" t="s">
        <v>379</v>
      </c>
      <c r="H177" t="s">
        <v>386</v>
      </c>
      <c r="I177" t="s">
        <v>387</v>
      </c>
      <c r="J177" t="str">
        <f t="shared" si="21"/>
        <v>081201</v>
      </c>
      <c r="K177" t="s">
        <v>22</v>
      </c>
      <c r="L177" t="s">
        <v>23</v>
      </c>
      <c r="M177" t="str">
        <f>CONCATENATE("1","")</f>
        <v>1</v>
      </c>
      <c r="N177" t="str">
        <f>CONCATENATE("984357251","")</f>
        <v>984357251</v>
      </c>
      <c r="O177" t="str">
        <f t="shared" si="19"/>
        <v>1 </v>
      </c>
      <c r="P177">
        <v>69.4</v>
      </c>
      <c r="Q177" t="s">
        <v>27</v>
      </c>
    </row>
    <row r="178" spans="1:17" ht="15">
      <c r="A178" t="s">
        <v>17</v>
      </c>
      <c r="B178" s="1">
        <v>43180</v>
      </c>
      <c r="C178" t="s">
        <v>278</v>
      </c>
      <c r="D178" t="str">
        <f>CONCATENATE("0060010722","")</f>
        <v>0060010722</v>
      </c>
      <c r="E178" t="str">
        <f>CONCATENATE("0120104000280       ","")</f>
        <v>0120104000280       </v>
      </c>
      <c r="F178" t="str">
        <f>CONCATENATE("607429622","")</f>
        <v>607429622</v>
      </c>
      <c r="G178" t="s">
        <v>379</v>
      </c>
      <c r="H178" t="s">
        <v>388</v>
      </c>
      <c r="I178" t="s">
        <v>389</v>
      </c>
      <c r="J178" t="str">
        <f t="shared" si="21"/>
        <v>081201</v>
      </c>
      <c r="K178" t="s">
        <v>22</v>
      </c>
      <c r="L178" t="s">
        <v>23</v>
      </c>
      <c r="M178" t="str">
        <f>CONCATENATE("3","")</f>
        <v>3</v>
      </c>
      <c r="O178" t="str">
        <f t="shared" si="19"/>
        <v>1 </v>
      </c>
      <c r="P178">
        <v>14.15</v>
      </c>
      <c r="Q178" t="s">
        <v>24</v>
      </c>
    </row>
    <row r="179" spans="1:17" ht="15">
      <c r="A179" t="s">
        <v>17</v>
      </c>
      <c r="B179" s="1">
        <v>43180</v>
      </c>
      <c r="C179" t="s">
        <v>278</v>
      </c>
      <c r="D179" t="str">
        <f>CONCATENATE("0060001362","")</f>
        <v>0060001362</v>
      </c>
      <c r="E179" t="str">
        <f>CONCATENATE("0120104000310       ","")</f>
        <v>0120104000310       </v>
      </c>
      <c r="F179" t="str">
        <f>CONCATENATE("606668646","")</f>
        <v>606668646</v>
      </c>
      <c r="G179" t="s">
        <v>379</v>
      </c>
      <c r="H179" t="s">
        <v>390</v>
      </c>
      <c r="I179" t="s">
        <v>391</v>
      </c>
      <c r="J179" t="str">
        <f t="shared" si="21"/>
        <v>081201</v>
      </c>
      <c r="K179" t="s">
        <v>22</v>
      </c>
      <c r="L179" t="s">
        <v>23</v>
      </c>
      <c r="M179" t="str">
        <f aca="true" t="shared" si="22" ref="M179:M187">CONCATENATE("1","")</f>
        <v>1</v>
      </c>
      <c r="O179" t="str">
        <f t="shared" si="19"/>
        <v>1 </v>
      </c>
      <c r="P179">
        <v>27.35</v>
      </c>
      <c r="Q179" t="s">
        <v>27</v>
      </c>
    </row>
    <row r="180" spans="1:17" ht="15">
      <c r="A180" t="s">
        <v>17</v>
      </c>
      <c r="B180" s="1">
        <v>43180</v>
      </c>
      <c r="C180" t="s">
        <v>278</v>
      </c>
      <c r="D180" t="str">
        <f>CONCATENATE("0060012004","")</f>
        <v>0060012004</v>
      </c>
      <c r="E180" t="str">
        <f>CONCATENATE("0120104000431       ","")</f>
        <v>0120104000431       </v>
      </c>
      <c r="F180" t="str">
        <f>CONCATENATE("605120876","")</f>
        <v>605120876</v>
      </c>
      <c r="G180" t="s">
        <v>379</v>
      </c>
      <c r="H180" t="s">
        <v>392</v>
      </c>
      <c r="I180" t="s">
        <v>393</v>
      </c>
      <c r="J180" t="str">
        <f t="shared" si="21"/>
        <v>081201</v>
      </c>
      <c r="K180" t="s">
        <v>22</v>
      </c>
      <c r="L180" t="s">
        <v>23</v>
      </c>
      <c r="M180" t="str">
        <f t="shared" si="22"/>
        <v>1</v>
      </c>
      <c r="O180" t="str">
        <f t="shared" si="19"/>
        <v>1 </v>
      </c>
      <c r="P180">
        <v>79.15</v>
      </c>
      <c r="Q180" t="s">
        <v>27</v>
      </c>
    </row>
    <row r="181" spans="1:17" ht="15">
      <c r="A181" t="s">
        <v>17</v>
      </c>
      <c r="B181" s="1">
        <v>43180</v>
      </c>
      <c r="C181" t="s">
        <v>278</v>
      </c>
      <c r="D181" t="str">
        <f>CONCATENATE("0060001386","")</f>
        <v>0060001386</v>
      </c>
      <c r="E181" t="str">
        <f>CONCATENATE("0120104000450       ","")</f>
        <v>0120104000450       </v>
      </c>
      <c r="F181" t="str">
        <f>CONCATENATE("2120553","")</f>
        <v>2120553</v>
      </c>
      <c r="G181" t="s">
        <v>379</v>
      </c>
      <c r="H181" t="s">
        <v>394</v>
      </c>
      <c r="I181" t="s">
        <v>395</v>
      </c>
      <c r="J181" t="str">
        <f t="shared" si="21"/>
        <v>081201</v>
      </c>
      <c r="K181" t="s">
        <v>22</v>
      </c>
      <c r="L181" t="s">
        <v>23</v>
      </c>
      <c r="M181" t="str">
        <f t="shared" si="22"/>
        <v>1</v>
      </c>
      <c r="O181" t="str">
        <f t="shared" si="19"/>
        <v>1 </v>
      </c>
      <c r="P181">
        <v>47.35</v>
      </c>
      <c r="Q181" t="s">
        <v>27</v>
      </c>
    </row>
    <row r="182" spans="1:17" ht="15">
      <c r="A182" t="s">
        <v>17</v>
      </c>
      <c r="B182" s="1">
        <v>43180</v>
      </c>
      <c r="C182" t="s">
        <v>278</v>
      </c>
      <c r="D182" t="str">
        <f>CONCATENATE("0060001389","")</f>
        <v>0060001389</v>
      </c>
      <c r="E182" t="str">
        <f>CONCATENATE("0120104000457       ","")</f>
        <v>0120104000457       </v>
      </c>
      <c r="F182" t="str">
        <f>CONCATENATE("1870454","")</f>
        <v>1870454</v>
      </c>
      <c r="G182" t="s">
        <v>379</v>
      </c>
      <c r="H182" t="s">
        <v>396</v>
      </c>
      <c r="I182" t="s">
        <v>397</v>
      </c>
      <c r="J182" t="str">
        <f t="shared" si="21"/>
        <v>081201</v>
      </c>
      <c r="K182" t="s">
        <v>22</v>
      </c>
      <c r="L182" t="s">
        <v>23</v>
      </c>
      <c r="M182" t="str">
        <f t="shared" si="22"/>
        <v>1</v>
      </c>
      <c r="O182" t="str">
        <f t="shared" si="19"/>
        <v>1 </v>
      </c>
      <c r="P182">
        <v>14.05</v>
      </c>
      <c r="Q182" t="s">
        <v>27</v>
      </c>
    </row>
    <row r="183" spans="1:17" ht="15">
      <c r="A183" t="s">
        <v>17</v>
      </c>
      <c r="B183" s="1">
        <v>43180</v>
      </c>
      <c r="C183" t="s">
        <v>278</v>
      </c>
      <c r="D183" t="str">
        <f>CONCATENATE("0060019768","")</f>
        <v>0060019768</v>
      </c>
      <c r="E183" t="str">
        <f>CONCATENATE("0120104000488       ","")</f>
        <v>0120104000488       </v>
      </c>
      <c r="F183" t="str">
        <f>CONCATENATE("606799009","")</f>
        <v>606799009</v>
      </c>
      <c r="G183" t="s">
        <v>379</v>
      </c>
      <c r="H183" t="s">
        <v>398</v>
      </c>
      <c r="I183" t="s">
        <v>399</v>
      </c>
      <c r="J183" t="str">
        <f t="shared" si="21"/>
        <v>081201</v>
      </c>
      <c r="K183" t="s">
        <v>22</v>
      </c>
      <c r="L183" t="s">
        <v>23</v>
      </c>
      <c r="M183" t="str">
        <f t="shared" si="22"/>
        <v>1</v>
      </c>
      <c r="O183" t="str">
        <f t="shared" si="19"/>
        <v>1 </v>
      </c>
      <c r="P183">
        <v>57.95</v>
      </c>
      <c r="Q183" t="s">
        <v>27</v>
      </c>
    </row>
    <row r="184" spans="1:17" ht="15">
      <c r="A184" t="s">
        <v>17</v>
      </c>
      <c r="B184" s="1">
        <v>43180</v>
      </c>
      <c r="C184" t="s">
        <v>278</v>
      </c>
      <c r="D184" t="str">
        <f>CONCATENATE("0060016791","")</f>
        <v>0060016791</v>
      </c>
      <c r="E184" t="str">
        <f>CONCATENATE("0120104000548       ","")</f>
        <v>0120104000548       </v>
      </c>
      <c r="F184" t="str">
        <f>CONCATENATE("2150204","")</f>
        <v>2150204</v>
      </c>
      <c r="G184" t="s">
        <v>379</v>
      </c>
      <c r="H184" t="s">
        <v>400</v>
      </c>
      <c r="I184" t="s">
        <v>401</v>
      </c>
      <c r="J184" t="str">
        <f t="shared" si="21"/>
        <v>081201</v>
      </c>
      <c r="K184" t="s">
        <v>22</v>
      </c>
      <c r="L184" t="s">
        <v>23</v>
      </c>
      <c r="M184" t="str">
        <f t="shared" si="22"/>
        <v>1</v>
      </c>
      <c r="O184" t="str">
        <f t="shared" si="19"/>
        <v>1 </v>
      </c>
      <c r="P184">
        <v>9.7</v>
      </c>
      <c r="Q184" t="s">
        <v>27</v>
      </c>
    </row>
    <row r="185" spans="1:17" ht="15">
      <c r="A185" t="s">
        <v>17</v>
      </c>
      <c r="B185" s="1">
        <v>43180</v>
      </c>
      <c r="C185" t="s">
        <v>278</v>
      </c>
      <c r="D185" t="str">
        <f>CONCATENATE("0060008069","")</f>
        <v>0060008069</v>
      </c>
      <c r="E185" t="str">
        <f>CONCATENATE("0120104000668       ","")</f>
        <v>0120104000668       </v>
      </c>
      <c r="F185" t="str">
        <f>CONCATENATE("605630574","")</f>
        <v>605630574</v>
      </c>
      <c r="G185" t="s">
        <v>379</v>
      </c>
      <c r="H185" t="s">
        <v>402</v>
      </c>
      <c r="I185" t="s">
        <v>403</v>
      </c>
      <c r="J185" t="str">
        <f t="shared" si="21"/>
        <v>081201</v>
      </c>
      <c r="K185" t="s">
        <v>22</v>
      </c>
      <c r="L185" t="s">
        <v>23</v>
      </c>
      <c r="M185" t="str">
        <f t="shared" si="22"/>
        <v>1</v>
      </c>
      <c r="O185" t="str">
        <f t="shared" si="19"/>
        <v>1 </v>
      </c>
      <c r="P185">
        <v>259.45</v>
      </c>
      <c r="Q185" t="s">
        <v>27</v>
      </c>
    </row>
    <row r="186" spans="1:17" ht="15">
      <c r="A186" t="s">
        <v>17</v>
      </c>
      <c r="B186" s="1">
        <v>43180</v>
      </c>
      <c r="C186" t="s">
        <v>278</v>
      </c>
      <c r="D186" t="str">
        <f>CONCATENATE("0060015562","")</f>
        <v>0060015562</v>
      </c>
      <c r="E186" t="str">
        <f>CONCATENATE("0120104000673       ","")</f>
        <v>0120104000673       </v>
      </c>
      <c r="F186" t="str">
        <f>CONCATENATE("607663617","")</f>
        <v>607663617</v>
      </c>
      <c r="G186" t="s">
        <v>379</v>
      </c>
      <c r="H186" t="s">
        <v>404</v>
      </c>
      <c r="I186" t="s">
        <v>405</v>
      </c>
      <c r="J186" t="str">
        <f t="shared" si="21"/>
        <v>081201</v>
      </c>
      <c r="K186" t="s">
        <v>22</v>
      </c>
      <c r="L186" t="s">
        <v>23</v>
      </c>
      <c r="M186" t="str">
        <f t="shared" si="22"/>
        <v>1</v>
      </c>
      <c r="O186" t="str">
        <f t="shared" si="19"/>
        <v>1 </v>
      </c>
      <c r="P186">
        <v>16.9</v>
      </c>
      <c r="Q186" t="s">
        <v>27</v>
      </c>
    </row>
    <row r="187" spans="1:17" ht="15">
      <c r="A187" t="s">
        <v>17</v>
      </c>
      <c r="B187" s="1">
        <v>43180</v>
      </c>
      <c r="C187" t="s">
        <v>278</v>
      </c>
      <c r="D187" t="str">
        <f>CONCATENATE("0060015624","")</f>
        <v>0060015624</v>
      </c>
      <c r="E187" t="str">
        <f>CONCATENATE("0120104000728       ","")</f>
        <v>0120104000728       </v>
      </c>
      <c r="F187" t="str">
        <f>CONCATENATE("605942108","")</f>
        <v>605942108</v>
      </c>
      <c r="G187" t="s">
        <v>379</v>
      </c>
      <c r="H187" t="s">
        <v>406</v>
      </c>
      <c r="I187" t="s">
        <v>407</v>
      </c>
      <c r="J187" t="str">
        <f t="shared" si="21"/>
        <v>081201</v>
      </c>
      <c r="K187" t="s">
        <v>22</v>
      </c>
      <c r="L187" t="s">
        <v>23</v>
      </c>
      <c r="M187" t="str">
        <f t="shared" si="22"/>
        <v>1</v>
      </c>
      <c r="O187" t="str">
        <f t="shared" si="19"/>
        <v>1 </v>
      </c>
      <c r="P187">
        <v>19.45</v>
      </c>
      <c r="Q187" t="s">
        <v>27</v>
      </c>
    </row>
    <row r="188" spans="1:17" ht="15">
      <c r="A188" t="s">
        <v>17</v>
      </c>
      <c r="B188" s="1">
        <v>43180</v>
      </c>
      <c r="C188" t="s">
        <v>278</v>
      </c>
      <c r="D188" t="str">
        <f>CONCATENATE("0060012584","")</f>
        <v>0060012584</v>
      </c>
      <c r="E188" t="str">
        <f>CONCATENATE("0120104000786       ","")</f>
        <v>0120104000786       </v>
      </c>
      <c r="F188" t="str">
        <f>CONCATENATE("111157","")</f>
        <v>111157</v>
      </c>
      <c r="G188" t="s">
        <v>379</v>
      </c>
      <c r="H188" t="s">
        <v>408</v>
      </c>
      <c r="I188" t="s">
        <v>409</v>
      </c>
      <c r="J188" t="str">
        <f t="shared" si="21"/>
        <v>081201</v>
      </c>
      <c r="K188" t="s">
        <v>22</v>
      </c>
      <c r="L188" t="s">
        <v>23</v>
      </c>
      <c r="M188" t="str">
        <f>CONCATENATE("3","")</f>
        <v>3</v>
      </c>
      <c r="O188" t="str">
        <f t="shared" si="19"/>
        <v>1 </v>
      </c>
      <c r="P188">
        <v>77.8</v>
      </c>
      <c r="Q188" t="s">
        <v>24</v>
      </c>
    </row>
    <row r="189" spans="1:17" ht="15">
      <c r="A189" t="s">
        <v>17</v>
      </c>
      <c r="B189" s="1">
        <v>43180</v>
      </c>
      <c r="C189" t="s">
        <v>278</v>
      </c>
      <c r="D189" t="str">
        <f>CONCATENATE("0060019910","")</f>
        <v>0060019910</v>
      </c>
      <c r="E189" t="str">
        <f>CONCATENATE("0120105000060       ","")</f>
        <v>0120105000060       </v>
      </c>
      <c r="F189" t="str">
        <f>CONCATENATE("606746356","")</f>
        <v>606746356</v>
      </c>
      <c r="G189" t="s">
        <v>324</v>
      </c>
      <c r="H189" t="s">
        <v>410</v>
      </c>
      <c r="I189" t="s">
        <v>411</v>
      </c>
      <c r="J189" t="str">
        <f t="shared" si="21"/>
        <v>081201</v>
      </c>
      <c r="K189" t="s">
        <v>22</v>
      </c>
      <c r="L189" t="s">
        <v>23</v>
      </c>
      <c r="M189" t="str">
        <f aca="true" t="shared" si="23" ref="M189:M220">CONCATENATE("1","")</f>
        <v>1</v>
      </c>
      <c r="O189" t="str">
        <f t="shared" si="19"/>
        <v>1 </v>
      </c>
      <c r="P189">
        <v>21.15</v>
      </c>
      <c r="Q189" t="s">
        <v>27</v>
      </c>
    </row>
    <row r="190" spans="1:17" ht="15">
      <c r="A190" t="s">
        <v>17</v>
      </c>
      <c r="B190" s="1">
        <v>43180</v>
      </c>
      <c r="C190" t="s">
        <v>278</v>
      </c>
      <c r="D190" t="str">
        <f>CONCATENATE("0060026355","")</f>
        <v>0060026355</v>
      </c>
      <c r="E190" t="str">
        <f>CONCATENATE("0120105000136       ","")</f>
        <v>0120105000136       </v>
      </c>
      <c r="F190" t="str">
        <f>CONCATENATE("2014022960","")</f>
        <v>2014022960</v>
      </c>
      <c r="G190" t="s">
        <v>324</v>
      </c>
      <c r="H190" t="s">
        <v>412</v>
      </c>
      <c r="I190" t="s">
        <v>413</v>
      </c>
      <c r="J190" t="str">
        <f aca="true" t="shared" si="24" ref="J190:J213">CONCATENATE("081201","")</f>
        <v>081201</v>
      </c>
      <c r="K190" t="s">
        <v>22</v>
      </c>
      <c r="L190" t="s">
        <v>23</v>
      </c>
      <c r="M190" t="str">
        <f t="shared" si="23"/>
        <v>1</v>
      </c>
      <c r="N190" t="str">
        <f>CONCATENATE("953515128","")</f>
        <v>953515128</v>
      </c>
      <c r="O190" t="str">
        <f t="shared" si="19"/>
        <v>1 </v>
      </c>
      <c r="P190">
        <v>12</v>
      </c>
      <c r="Q190" t="s">
        <v>27</v>
      </c>
    </row>
    <row r="191" spans="1:17" ht="15">
      <c r="A191" t="s">
        <v>17</v>
      </c>
      <c r="B191" s="1">
        <v>43180</v>
      </c>
      <c r="C191" t="s">
        <v>278</v>
      </c>
      <c r="D191" t="str">
        <f>CONCATENATE("0060021780","")</f>
        <v>0060021780</v>
      </c>
      <c r="E191" t="str">
        <f>CONCATENATE("0120105000435       ","")</f>
        <v>0120105000435       </v>
      </c>
      <c r="F191" t="str">
        <f>CONCATENATE("607298784","")</f>
        <v>607298784</v>
      </c>
      <c r="G191" t="s">
        <v>324</v>
      </c>
      <c r="H191" t="s">
        <v>414</v>
      </c>
      <c r="I191" t="s">
        <v>415</v>
      </c>
      <c r="J191" t="str">
        <f t="shared" si="24"/>
        <v>081201</v>
      </c>
      <c r="K191" t="s">
        <v>22</v>
      </c>
      <c r="L191" t="s">
        <v>23</v>
      </c>
      <c r="M191" t="str">
        <f t="shared" si="23"/>
        <v>1</v>
      </c>
      <c r="O191" t="str">
        <f t="shared" si="19"/>
        <v>1 </v>
      </c>
      <c r="P191">
        <v>91.35</v>
      </c>
      <c r="Q191" t="s">
        <v>27</v>
      </c>
    </row>
    <row r="192" spans="1:17" ht="15">
      <c r="A192" t="s">
        <v>17</v>
      </c>
      <c r="B192" s="1">
        <v>43180</v>
      </c>
      <c r="C192" t="s">
        <v>278</v>
      </c>
      <c r="D192" t="str">
        <f>CONCATENATE("0060001501","")</f>
        <v>0060001501</v>
      </c>
      <c r="E192" t="str">
        <f>CONCATENATE("0120106000040       ","")</f>
        <v>0120106000040       </v>
      </c>
      <c r="F192" t="str">
        <f>CONCATENATE("1930125","")</f>
        <v>1930125</v>
      </c>
      <c r="G192" t="s">
        <v>362</v>
      </c>
      <c r="H192" t="s">
        <v>416</v>
      </c>
      <c r="I192" t="s">
        <v>417</v>
      </c>
      <c r="J192" t="str">
        <f t="shared" si="24"/>
        <v>081201</v>
      </c>
      <c r="K192" t="s">
        <v>22</v>
      </c>
      <c r="L192" t="s">
        <v>23</v>
      </c>
      <c r="M192" t="str">
        <f t="shared" si="23"/>
        <v>1</v>
      </c>
      <c r="O192" t="str">
        <f t="shared" si="19"/>
        <v>1 </v>
      </c>
      <c r="P192">
        <v>35.55</v>
      </c>
      <c r="Q192" t="s">
        <v>27</v>
      </c>
    </row>
    <row r="193" spans="1:17" ht="15">
      <c r="A193" t="s">
        <v>17</v>
      </c>
      <c r="B193" s="1">
        <v>43180</v>
      </c>
      <c r="C193" t="s">
        <v>278</v>
      </c>
      <c r="D193" t="str">
        <f>CONCATENATE("0060025971","")</f>
        <v>0060025971</v>
      </c>
      <c r="E193" t="str">
        <f>CONCATENATE("0120110000323       ","")</f>
        <v>0120110000323       </v>
      </c>
      <c r="F193" t="str">
        <f>CONCATENATE("607657691","")</f>
        <v>607657691</v>
      </c>
      <c r="G193" t="s">
        <v>418</v>
      </c>
      <c r="H193" t="s">
        <v>419</v>
      </c>
      <c r="I193" t="s">
        <v>420</v>
      </c>
      <c r="J193" t="str">
        <f t="shared" si="24"/>
        <v>081201</v>
      </c>
      <c r="K193" t="s">
        <v>22</v>
      </c>
      <c r="L193" t="s">
        <v>23</v>
      </c>
      <c r="M193" t="str">
        <f t="shared" si="23"/>
        <v>1</v>
      </c>
      <c r="N193" t="str">
        <f>CONCATENATE("957034835","")</f>
        <v>957034835</v>
      </c>
      <c r="O193" t="str">
        <f t="shared" si="19"/>
        <v>1 </v>
      </c>
      <c r="P193">
        <v>12</v>
      </c>
      <c r="Q193" t="s">
        <v>27</v>
      </c>
    </row>
    <row r="194" spans="1:17" ht="15">
      <c r="A194" t="s">
        <v>17</v>
      </c>
      <c r="B194" s="1">
        <v>43180</v>
      </c>
      <c r="C194" t="s">
        <v>278</v>
      </c>
      <c r="D194" t="str">
        <f>CONCATENATE("0060001560","")</f>
        <v>0060001560</v>
      </c>
      <c r="E194" t="str">
        <f>CONCATENATE("0120110000490       ","")</f>
        <v>0120110000490       </v>
      </c>
      <c r="F194" t="str">
        <f>CONCATENATE("6816148","")</f>
        <v>6816148</v>
      </c>
      <c r="G194" t="s">
        <v>418</v>
      </c>
      <c r="H194" t="s">
        <v>421</v>
      </c>
      <c r="I194" t="s">
        <v>422</v>
      </c>
      <c r="J194" t="str">
        <f t="shared" si="24"/>
        <v>081201</v>
      </c>
      <c r="K194" t="s">
        <v>22</v>
      </c>
      <c r="L194" t="s">
        <v>23</v>
      </c>
      <c r="M194" t="str">
        <f t="shared" si="23"/>
        <v>1</v>
      </c>
      <c r="O194" t="str">
        <f aca="true" t="shared" si="25" ref="O194:O257">CONCATENATE("1 ","")</f>
        <v>1 </v>
      </c>
      <c r="P194">
        <v>15.25</v>
      </c>
      <c r="Q194" t="s">
        <v>27</v>
      </c>
    </row>
    <row r="195" spans="1:17" ht="15">
      <c r="A195" t="s">
        <v>17</v>
      </c>
      <c r="B195" s="1">
        <v>43180</v>
      </c>
      <c r="C195" t="s">
        <v>278</v>
      </c>
      <c r="D195" t="str">
        <f>CONCATENATE("0060012000","")</f>
        <v>0060012000</v>
      </c>
      <c r="E195" t="str">
        <f>CONCATENATE("0120110000600       ","")</f>
        <v>0120110000600       </v>
      </c>
      <c r="F195" t="str">
        <f>CONCATENATE("606603420","")</f>
        <v>606603420</v>
      </c>
      <c r="G195" t="s">
        <v>418</v>
      </c>
      <c r="H195" t="s">
        <v>423</v>
      </c>
      <c r="I195" t="s">
        <v>424</v>
      </c>
      <c r="J195" t="str">
        <f t="shared" si="24"/>
        <v>081201</v>
      </c>
      <c r="K195" t="s">
        <v>22</v>
      </c>
      <c r="L195" t="s">
        <v>23</v>
      </c>
      <c r="M195" t="str">
        <f t="shared" si="23"/>
        <v>1</v>
      </c>
      <c r="O195" t="str">
        <f t="shared" si="25"/>
        <v>1 </v>
      </c>
      <c r="P195">
        <v>12.15</v>
      </c>
      <c r="Q195" t="s">
        <v>27</v>
      </c>
    </row>
    <row r="196" spans="1:17" ht="15">
      <c r="A196" t="s">
        <v>17</v>
      </c>
      <c r="B196" s="1">
        <v>43180</v>
      </c>
      <c r="C196" t="s">
        <v>278</v>
      </c>
      <c r="D196" t="str">
        <f>CONCATENATE("0060026173","")</f>
        <v>0060026173</v>
      </c>
      <c r="E196" t="str">
        <f>CONCATENATE("0120110000625       ","")</f>
        <v>0120110000625       </v>
      </c>
      <c r="F196" t="str">
        <f>CONCATENATE("607653087","")</f>
        <v>607653087</v>
      </c>
      <c r="G196" t="s">
        <v>418</v>
      </c>
      <c r="H196" t="s">
        <v>425</v>
      </c>
      <c r="I196" t="s">
        <v>426</v>
      </c>
      <c r="J196" t="str">
        <f t="shared" si="24"/>
        <v>081201</v>
      </c>
      <c r="K196" t="s">
        <v>22</v>
      </c>
      <c r="L196" t="s">
        <v>23</v>
      </c>
      <c r="M196" t="str">
        <f t="shared" si="23"/>
        <v>1</v>
      </c>
      <c r="O196" t="str">
        <f t="shared" si="25"/>
        <v>1 </v>
      </c>
      <c r="P196">
        <v>19.3</v>
      </c>
      <c r="Q196" t="s">
        <v>27</v>
      </c>
    </row>
    <row r="197" spans="1:17" ht="15">
      <c r="A197" t="s">
        <v>17</v>
      </c>
      <c r="B197" s="1">
        <v>43180</v>
      </c>
      <c r="C197" t="s">
        <v>278</v>
      </c>
      <c r="D197" t="str">
        <f>CONCATENATE("0060008228","")</f>
        <v>0060008228</v>
      </c>
      <c r="E197" t="str">
        <f>CONCATENATE("0120125000128       ","")</f>
        <v>0120125000128       </v>
      </c>
      <c r="F197" t="str">
        <f>CONCATENATE("0605759353","")</f>
        <v>0605759353</v>
      </c>
      <c r="G197" t="s">
        <v>427</v>
      </c>
      <c r="H197" t="s">
        <v>428</v>
      </c>
      <c r="I197" t="s">
        <v>429</v>
      </c>
      <c r="J197" t="str">
        <f t="shared" si="24"/>
        <v>081201</v>
      </c>
      <c r="K197" t="s">
        <v>22</v>
      </c>
      <c r="L197" t="s">
        <v>23</v>
      </c>
      <c r="M197" t="str">
        <f t="shared" si="23"/>
        <v>1</v>
      </c>
      <c r="O197" t="str">
        <f t="shared" si="25"/>
        <v>1 </v>
      </c>
      <c r="P197">
        <v>12.95</v>
      </c>
      <c r="Q197" t="s">
        <v>27</v>
      </c>
    </row>
    <row r="198" spans="1:17" ht="15">
      <c r="A198" t="s">
        <v>17</v>
      </c>
      <c r="B198" s="1">
        <v>43180</v>
      </c>
      <c r="C198" t="s">
        <v>278</v>
      </c>
      <c r="D198" t="str">
        <f>CONCATENATE("0060001676","")</f>
        <v>0060001676</v>
      </c>
      <c r="E198" t="str">
        <f>CONCATENATE("0120125000420       ","")</f>
        <v>0120125000420       </v>
      </c>
      <c r="F198" t="str">
        <f>CONCATENATE("2015025937","")</f>
        <v>2015025937</v>
      </c>
      <c r="G198" t="s">
        <v>427</v>
      </c>
      <c r="H198" t="s">
        <v>430</v>
      </c>
      <c r="I198" t="s">
        <v>431</v>
      </c>
      <c r="J198" t="str">
        <f t="shared" si="24"/>
        <v>081201</v>
      </c>
      <c r="K198" t="s">
        <v>22</v>
      </c>
      <c r="L198" t="s">
        <v>23</v>
      </c>
      <c r="M198" t="str">
        <f t="shared" si="23"/>
        <v>1</v>
      </c>
      <c r="O198" t="str">
        <f t="shared" si="25"/>
        <v>1 </v>
      </c>
      <c r="P198">
        <v>241.5</v>
      </c>
      <c r="Q198" t="s">
        <v>27</v>
      </c>
    </row>
    <row r="199" spans="1:17" ht="15">
      <c r="A199" t="s">
        <v>17</v>
      </c>
      <c r="B199" s="1">
        <v>43180</v>
      </c>
      <c r="C199" t="s">
        <v>278</v>
      </c>
      <c r="D199" t="str">
        <f>CONCATENATE("0060014494","")</f>
        <v>0060014494</v>
      </c>
      <c r="E199" t="str">
        <f>CONCATENATE("0120125000918       ","")</f>
        <v>0120125000918       </v>
      </c>
      <c r="F199" t="str">
        <f>CONCATENATE("606592430","")</f>
        <v>606592430</v>
      </c>
      <c r="G199" t="s">
        <v>432</v>
      </c>
      <c r="H199" t="s">
        <v>433</v>
      </c>
      <c r="I199" t="s">
        <v>434</v>
      </c>
      <c r="J199" t="str">
        <f t="shared" si="24"/>
        <v>081201</v>
      </c>
      <c r="K199" t="s">
        <v>22</v>
      </c>
      <c r="L199" t="s">
        <v>23</v>
      </c>
      <c r="M199" t="str">
        <f t="shared" si="23"/>
        <v>1</v>
      </c>
      <c r="O199" t="str">
        <f t="shared" si="25"/>
        <v>1 </v>
      </c>
      <c r="P199">
        <v>59.5</v>
      </c>
      <c r="Q199" t="s">
        <v>27</v>
      </c>
    </row>
    <row r="200" spans="1:17" ht="15">
      <c r="A200" t="s">
        <v>17</v>
      </c>
      <c r="B200" s="1">
        <v>43180</v>
      </c>
      <c r="C200" t="s">
        <v>278</v>
      </c>
      <c r="D200" t="str">
        <f>CONCATENATE("0060017027","")</f>
        <v>0060017027</v>
      </c>
      <c r="E200" t="str">
        <f>CONCATENATE("0120129000280       ","")</f>
        <v>0120129000280       </v>
      </c>
      <c r="F200" t="str">
        <f>CONCATENATE("2173038","")</f>
        <v>2173038</v>
      </c>
      <c r="G200" t="s">
        <v>432</v>
      </c>
      <c r="H200" t="s">
        <v>435</v>
      </c>
      <c r="I200" t="s">
        <v>436</v>
      </c>
      <c r="J200" t="str">
        <f t="shared" si="24"/>
        <v>081201</v>
      </c>
      <c r="K200" t="s">
        <v>22</v>
      </c>
      <c r="L200" t="s">
        <v>23</v>
      </c>
      <c r="M200" t="str">
        <f t="shared" si="23"/>
        <v>1</v>
      </c>
      <c r="O200" t="str">
        <f t="shared" si="25"/>
        <v>1 </v>
      </c>
      <c r="P200">
        <v>21.05</v>
      </c>
      <c r="Q200" t="s">
        <v>27</v>
      </c>
    </row>
    <row r="201" spans="1:17" ht="15">
      <c r="A201" t="s">
        <v>17</v>
      </c>
      <c r="B201" s="1">
        <v>43180</v>
      </c>
      <c r="C201" t="s">
        <v>278</v>
      </c>
      <c r="D201" t="str">
        <f>CONCATENATE("0060017046","")</f>
        <v>0060017046</v>
      </c>
      <c r="E201" t="str">
        <f>CONCATENATE("0120129000610       ","")</f>
        <v>0120129000610       </v>
      </c>
      <c r="F201" t="str">
        <f>CONCATENATE("2150066","")</f>
        <v>2150066</v>
      </c>
      <c r="G201" t="s">
        <v>437</v>
      </c>
      <c r="H201" t="s">
        <v>438</v>
      </c>
      <c r="I201" t="s">
        <v>436</v>
      </c>
      <c r="J201" t="str">
        <f t="shared" si="24"/>
        <v>081201</v>
      </c>
      <c r="K201" t="s">
        <v>22</v>
      </c>
      <c r="L201" t="s">
        <v>23</v>
      </c>
      <c r="M201" t="str">
        <f t="shared" si="23"/>
        <v>1</v>
      </c>
      <c r="O201" t="str">
        <f t="shared" si="25"/>
        <v>1 </v>
      </c>
      <c r="P201">
        <v>26.25</v>
      </c>
      <c r="Q201" t="s">
        <v>27</v>
      </c>
    </row>
    <row r="202" spans="1:17" ht="15">
      <c r="A202" t="s">
        <v>17</v>
      </c>
      <c r="B202" s="1">
        <v>43180</v>
      </c>
      <c r="C202" t="s">
        <v>278</v>
      </c>
      <c r="D202" t="str">
        <f>CONCATENATE("0060001823","")</f>
        <v>0060001823</v>
      </c>
      <c r="E202" t="str">
        <f>CONCATENATE("0120130000030       ","")</f>
        <v>0120130000030       </v>
      </c>
      <c r="F202" t="str">
        <f>CONCATENATE("605082720","")</f>
        <v>605082720</v>
      </c>
      <c r="G202" t="s">
        <v>439</v>
      </c>
      <c r="H202" t="s">
        <v>440</v>
      </c>
      <c r="I202" t="s">
        <v>441</v>
      </c>
      <c r="J202" t="str">
        <f t="shared" si="24"/>
        <v>081201</v>
      </c>
      <c r="K202" t="s">
        <v>22</v>
      </c>
      <c r="L202" t="s">
        <v>23</v>
      </c>
      <c r="M202" t="str">
        <f t="shared" si="23"/>
        <v>1</v>
      </c>
      <c r="O202" t="str">
        <f t="shared" si="25"/>
        <v>1 </v>
      </c>
      <c r="P202">
        <v>64.95</v>
      </c>
      <c r="Q202" t="s">
        <v>27</v>
      </c>
    </row>
    <row r="203" spans="1:17" ht="15">
      <c r="A203" t="s">
        <v>17</v>
      </c>
      <c r="B203" s="1">
        <v>43180</v>
      </c>
      <c r="C203" t="s">
        <v>278</v>
      </c>
      <c r="D203" t="str">
        <f>CONCATENATE("0060025572","")</f>
        <v>0060025572</v>
      </c>
      <c r="E203" t="str">
        <f>CONCATENATE("0120130000592       ","")</f>
        <v>0120130000592       </v>
      </c>
      <c r="F203" t="str">
        <f>CONCATENATE("607653160","")</f>
        <v>607653160</v>
      </c>
      <c r="G203" t="s">
        <v>439</v>
      </c>
      <c r="H203" t="s">
        <v>442</v>
      </c>
      <c r="I203" t="s">
        <v>443</v>
      </c>
      <c r="J203" t="str">
        <f t="shared" si="24"/>
        <v>081201</v>
      </c>
      <c r="K203" t="s">
        <v>22</v>
      </c>
      <c r="L203" t="s">
        <v>23</v>
      </c>
      <c r="M203" t="str">
        <f t="shared" si="23"/>
        <v>1</v>
      </c>
      <c r="O203" t="str">
        <f t="shared" si="25"/>
        <v>1 </v>
      </c>
      <c r="P203">
        <v>22.9</v>
      </c>
      <c r="Q203" t="s">
        <v>27</v>
      </c>
    </row>
    <row r="204" spans="1:17" ht="15">
      <c r="A204" t="s">
        <v>17</v>
      </c>
      <c r="B204" s="1">
        <v>43180</v>
      </c>
      <c r="C204" t="s">
        <v>278</v>
      </c>
      <c r="D204" t="str">
        <f>CONCATENATE("0060016885","")</f>
        <v>0060016885</v>
      </c>
      <c r="E204" t="str">
        <f>CONCATENATE("0120131000210       ","")</f>
        <v>0120131000210       </v>
      </c>
      <c r="F204" t="str">
        <f>CONCATENATE("607660229","")</f>
        <v>607660229</v>
      </c>
      <c r="G204" t="s">
        <v>444</v>
      </c>
      <c r="H204" t="s">
        <v>445</v>
      </c>
      <c r="I204" t="s">
        <v>446</v>
      </c>
      <c r="J204" t="str">
        <f t="shared" si="24"/>
        <v>081201</v>
      </c>
      <c r="K204" t="s">
        <v>22</v>
      </c>
      <c r="L204" t="s">
        <v>23</v>
      </c>
      <c r="M204" t="str">
        <f t="shared" si="23"/>
        <v>1</v>
      </c>
      <c r="O204" t="str">
        <f t="shared" si="25"/>
        <v>1 </v>
      </c>
      <c r="P204">
        <v>18.75</v>
      </c>
      <c r="Q204" t="s">
        <v>27</v>
      </c>
    </row>
    <row r="205" spans="1:17" ht="15">
      <c r="A205" t="s">
        <v>17</v>
      </c>
      <c r="B205" s="1">
        <v>43180</v>
      </c>
      <c r="C205" t="s">
        <v>278</v>
      </c>
      <c r="D205" t="str">
        <f>CONCATENATE("0060016967","")</f>
        <v>0060016967</v>
      </c>
      <c r="E205" t="str">
        <f>CONCATENATE("0120132000010       ","")</f>
        <v>0120132000010       </v>
      </c>
      <c r="F205" t="str">
        <f>CONCATENATE("2003065","")</f>
        <v>2003065</v>
      </c>
      <c r="G205" t="s">
        <v>447</v>
      </c>
      <c r="H205" t="s">
        <v>448</v>
      </c>
      <c r="I205" t="s">
        <v>449</v>
      </c>
      <c r="J205" t="str">
        <f t="shared" si="24"/>
        <v>081201</v>
      </c>
      <c r="K205" t="s">
        <v>22</v>
      </c>
      <c r="L205" t="s">
        <v>23</v>
      </c>
      <c r="M205" t="str">
        <f t="shared" si="23"/>
        <v>1</v>
      </c>
      <c r="O205" t="str">
        <f t="shared" si="25"/>
        <v>1 </v>
      </c>
      <c r="P205">
        <v>9.15</v>
      </c>
      <c r="Q205" t="s">
        <v>27</v>
      </c>
    </row>
    <row r="206" spans="1:17" ht="15">
      <c r="A206" t="s">
        <v>17</v>
      </c>
      <c r="B206" s="1">
        <v>43180</v>
      </c>
      <c r="C206" t="s">
        <v>278</v>
      </c>
      <c r="D206" t="str">
        <f>CONCATENATE("0060016968","")</f>
        <v>0060016968</v>
      </c>
      <c r="E206" t="str">
        <f>CONCATENATE("0120132000020       ","")</f>
        <v>0120132000020       </v>
      </c>
      <c r="F206" t="str">
        <f>CONCATENATE("2003067","")</f>
        <v>2003067</v>
      </c>
      <c r="G206" t="s">
        <v>447</v>
      </c>
      <c r="H206" t="s">
        <v>450</v>
      </c>
      <c r="I206" t="s">
        <v>449</v>
      </c>
      <c r="J206" t="str">
        <f t="shared" si="24"/>
        <v>081201</v>
      </c>
      <c r="K206" t="s">
        <v>22</v>
      </c>
      <c r="L206" t="s">
        <v>23</v>
      </c>
      <c r="M206" t="str">
        <f t="shared" si="23"/>
        <v>1</v>
      </c>
      <c r="O206" t="str">
        <f t="shared" si="25"/>
        <v>1 </v>
      </c>
      <c r="P206">
        <v>13.8</v>
      </c>
      <c r="Q206" t="s">
        <v>27</v>
      </c>
    </row>
    <row r="207" spans="1:17" ht="15">
      <c r="A207" t="s">
        <v>17</v>
      </c>
      <c r="B207" s="1">
        <v>43180</v>
      </c>
      <c r="C207" t="s">
        <v>278</v>
      </c>
      <c r="D207" t="str">
        <f>CONCATENATE("0060016980","")</f>
        <v>0060016980</v>
      </c>
      <c r="E207" t="str">
        <f>CONCATENATE("0120132000140       ","")</f>
        <v>0120132000140       </v>
      </c>
      <c r="F207" t="str">
        <f>CONCATENATE("2003056","")</f>
        <v>2003056</v>
      </c>
      <c r="G207" t="s">
        <v>447</v>
      </c>
      <c r="H207" t="s">
        <v>451</v>
      </c>
      <c r="I207" t="s">
        <v>449</v>
      </c>
      <c r="J207" t="str">
        <f t="shared" si="24"/>
        <v>081201</v>
      </c>
      <c r="K207" t="s">
        <v>22</v>
      </c>
      <c r="L207" t="s">
        <v>23</v>
      </c>
      <c r="M207" t="str">
        <f t="shared" si="23"/>
        <v>1</v>
      </c>
      <c r="O207" t="str">
        <f t="shared" si="25"/>
        <v>1 </v>
      </c>
      <c r="P207">
        <v>8.15</v>
      </c>
      <c r="Q207" t="s">
        <v>27</v>
      </c>
    </row>
    <row r="208" spans="1:17" ht="15">
      <c r="A208" t="s">
        <v>17</v>
      </c>
      <c r="B208" s="1">
        <v>43180</v>
      </c>
      <c r="C208" t="s">
        <v>278</v>
      </c>
      <c r="D208" t="str">
        <f>CONCATENATE("0060016981","")</f>
        <v>0060016981</v>
      </c>
      <c r="E208" t="str">
        <f>CONCATENATE("0120132000150       ","")</f>
        <v>0120132000150       </v>
      </c>
      <c r="F208" t="str">
        <f>CONCATENATE("2003063","")</f>
        <v>2003063</v>
      </c>
      <c r="G208" t="s">
        <v>447</v>
      </c>
      <c r="H208" t="s">
        <v>452</v>
      </c>
      <c r="I208" t="s">
        <v>449</v>
      </c>
      <c r="J208" t="str">
        <f t="shared" si="24"/>
        <v>081201</v>
      </c>
      <c r="K208" t="s">
        <v>22</v>
      </c>
      <c r="L208" t="s">
        <v>23</v>
      </c>
      <c r="M208" t="str">
        <f t="shared" si="23"/>
        <v>1</v>
      </c>
      <c r="O208" t="str">
        <f t="shared" si="25"/>
        <v>1 </v>
      </c>
      <c r="P208">
        <v>22.3</v>
      </c>
      <c r="Q208" t="s">
        <v>27</v>
      </c>
    </row>
    <row r="209" spans="1:17" ht="15">
      <c r="A209" t="s">
        <v>17</v>
      </c>
      <c r="B209" s="1">
        <v>43180</v>
      </c>
      <c r="C209" t="s">
        <v>278</v>
      </c>
      <c r="D209" t="str">
        <f>CONCATENATE("0060001940","")</f>
        <v>0060001940</v>
      </c>
      <c r="E209" t="str">
        <f>CONCATENATE("0120135000050       ","")</f>
        <v>0120135000050       </v>
      </c>
      <c r="F209" t="str">
        <f>CONCATENATE("2127516","")</f>
        <v>2127516</v>
      </c>
      <c r="G209" t="s">
        <v>453</v>
      </c>
      <c r="H209" t="s">
        <v>454</v>
      </c>
      <c r="I209" t="s">
        <v>455</v>
      </c>
      <c r="J209" t="str">
        <f t="shared" si="24"/>
        <v>081201</v>
      </c>
      <c r="K209" t="s">
        <v>22</v>
      </c>
      <c r="L209" t="s">
        <v>23</v>
      </c>
      <c r="M209" t="str">
        <f t="shared" si="23"/>
        <v>1</v>
      </c>
      <c r="O209" t="str">
        <f t="shared" si="25"/>
        <v>1 </v>
      </c>
      <c r="P209">
        <v>11.75</v>
      </c>
      <c r="Q209" t="s">
        <v>27</v>
      </c>
    </row>
    <row r="210" spans="1:17" ht="15">
      <c r="A210" t="s">
        <v>17</v>
      </c>
      <c r="B210" s="1">
        <v>43180</v>
      </c>
      <c r="C210" t="s">
        <v>278</v>
      </c>
      <c r="D210" t="str">
        <f>CONCATENATE("0060001950","")</f>
        <v>0060001950</v>
      </c>
      <c r="E210" t="str">
        <f>CONCATENATE("0120135000150       ","")</f>
        <v>0120135000150       </v>
      </c>
      <c r="F210" t="str">
        <f>CONCATENATE("2127515","")</f>
        <v>2127515</v>
      </c>
      <c r="G210" t="s">
        <v>453</v>
      </c>
      <c r="H210" t="s">
        <v>456</v>
      </c>
      <c r="I210" t="s">
        <v>455</v>
      </c>
      <c r="J210" t="str">
        <f t="shared" si="24"/>
        <v>081201</v>
      </c>
      <c r="K210" t="s">
        <v>22</v>
      </c>
      <c r="L210" t="s">
        <v>23</v>
      </c>
      <c r="M210" t="str">
        <f t="shared" si="23"/>
        <v>1</v>
      </c>
      <c r="O210" t="str">
        <f t="shared" si="25"/>
        <v>1 </v>
      </c>
      <c r="P210">
        <v>20.35</v>
      </c>
      <c r="Q210" t="s">
        <v>27</v>
      </c>
    </row>
    <row r="211" spans="1:17" ht="15">
      <c r="A211" t="s">
        <v>17</v>
      </c>
      <c r="B211" s="1">
        <v>43180</v>
      </c>
      <c r="C211" t="s">
        <v>278</v>
      </c>
      <c r="D211" t="str">
        <f>CONCATENATE("0060001969","")</f>
        <v>0060001969</v>
      </c>
      <c r="E211" t="str">
        <f>CONCATENATE("0120135000410       ","")</f>
        <v>0120135000410       </v>
      </c>
      <c r="F211" t="str">
        <f>CONCATENATE("1944638","")</f>
        <v>1944638</v>
      </c>
      <c r="G211" t="s">
        <v>453</v>
      </c>
      <c r="H211" t="s">
        <v>457</v>
      </c>
      <c r="I211" t="s">
        <v>455</v>
      </c>
      <c r="J211" t="str">
        <f t="shared" si="24"/>
        <v>081201</v>
      </c>
      <c r="K211" t="s">
        <v>22</v>
      </c>
      <c r="L211" t="s">
        <v>23</v>
      </c>
      <c r="M211" t="str">
        <f t="shared" si="23"/>
        <v>1</v>
      </c>
      <c r="O211" t="str">
        <f t="shared" si="25"/>
        <v>1 </v>
      </c>
      <c r="P211">
        <v>50.2</v>
      </c>
      <c r="Q211" t="s">
        <v>27</v>
      </c>
    </row>
    <row r="212" spans="1:17" ht="15">
      <c r="A212" t="s">
        <v>17</v>
      </c>
      <c r="B212" s="1">
        <v>43180</v>
      </c>
      <c r="C212" t="s">
        <v>278</v>
      </c>
      <c r="D212" t="str">
        <f>CONCATENATE("0060009218","")</f>
        <v>0060009218</v>
      </c>
      <c r="E212" t="str">
        <f>CONCATENATE("0120137000055       ","")</f>
        <v>0120137000055       </v>
      </c>
      <c r="F212" t="str">
        <f>CONCATENATE("10430854","")</f>
        <v>10430854</v>
      </c>
      <c r="G212" t="s">
        <v>458</v>
      </c>
      <c r="H212" t="s">
        <v>459</v>
      </c>
      <c r="I212" t="s">
        <v>460</v>
      </c>
      <c r="J212" t="str">
        <f t="shared" si="24"/>
        <v>081201</v>
      </c>
      <c r="K212" t="s">
        <v>22</v>
      </c>
      <c r="L212" t="s">
        <v>23</v>
      </c>
      <c r="M212" t="str">
        <f t="shared" si="23"/>
        <v>1</v>
      </c>
      <c r="O212" t="str">
        <f t="shared" si="25"/>
        <v>1 </v>
      </c>
      <c r="P212">
        <v>20.8</v>
      </c>
      <c r="Q212" t="s">
        <v>27</v>
      </c>
    </row>
    <row r="213" spans="1:17" ht="15">
      <c r="A213" t="s">
        <v>17</v>
      </c>
      <c r="B213" s="1">
        <v>43180</v>
      </c>
      <c r="C213" t="s">
        <v>278</v>
      </c>
      <c r="D213" t="str">
        <f>CONCATENATE("0060001990","")</f>
        <v>0060001990</v>
      </c>
      <c r="E213" t="str">
        <f>CONCATENATE("0120137000130       ","")</f>
        <v>0120137000130       </v>
      </c>
      <c r="F213" t="str">
        <f>CONCATENATE("605878494","")</f>
        <v>605878494</v>
      </c>
      <c r="G213" t="s">
        <v>458</v>
      </c>
      <c r="H213" t="s">
        <v>461</v>
      </c>
      <c r="I213" t="s">
        <v>460</v>
      </c>
      <c r="J213" t="str">
        <f t="shared" si="24"/>
        <v>081201</v>
      </c>
      <c r="K213" t="s">
        <v>22</v>
      </c>
      <c r="L213" t="s">
        <v>23</v>
      </c>
      <c r="M213" t="str">
        <f t="shared" si="23"/>
        <v>1</v>
      </c>
      <c r="O213" t="str">
        <f t="shared" si="25"/>
        <v>1 </v>
      </c>
      <c r="P213">
        <v>26.35</v>
      </c>
      <c r="Q213" t="s">
        <v>27</v>
      </c>
    </row>
    <row r="214" spans="1:17" ht="15">
      <c r="A214" t="s">
        <v>17</v>
      </c>
      <c r="B214" s="1">
        <v>43180</v>
      </c>
      <c r="C214" t="s">
        <v>278</v>
      </c>
      <c r="D214" t="str">
        <f>CONCATENATE("0060009876","")</f>
        <v>0060009876</v>
      </c>
      <c r="E214" t="str">
        <f>CONCATENATE("0120138000035       ","")</f>
        <v>0120138000035       </v>
      </c>
      <c r="F214" t="str">
        <f>CONCATENATE("2174209","")</f>
        <v>2174209</v>
      </c>
      <c r="G214" t="s">
        <v>462</v>
      </c>
      <c r="H214" t="s">
        <v>463</v>
      </c>
      <c r="I214" t="s">
        <v>464</v>
      </c>
      <c r="J214" t="str">
        <f>CONCATENATE("081102","")</f>
        <v>081102</v>
      </c>
      <c r="K214" t="s">
        <v>22</v>
      </c>
      <c r="L214" t="s">
        <v>23</v>
      </c>
      <c r="M214" t="str">
        <f t="shared" si="23"/>
        <v>1</v>
      </c>
      <c r="O214" t="str">
        <f t="shared" si="25"/>
        <v>1 </v>
      </c>
      <c r="P214">
        <v>20.3</v>
      </c>
      <c r="Q214" t="s">
        <v>27</v>
      </c>
    </row>
    <row r="215" spans="1:17" ht="15">
      <c r="A215" t="s">
        <v>17</v>
      </c>
      <c r="B215" s="1">
        <v>43180</v>
      </c>
      <c r="C215" t="s">
        <v>278</v>
      </c>
      <c r="D215" t="str">
        <f>CONCATENATE("0060020780","")</f>
        <v>0060020780</v>
      </c>
      <c r="E215" t="str">
        <f>CONCATENATE("0120138000180       ","")</f>
        <v>0120138000180       </v>
      </c>
      <c r="F215" t="str">
        <f>CONCATENATE("607442516","")</f>
        <v>607442516</v>
      </c>
      <c r="G215" t="s">
        <v>462</v>
      </c>
      <c r="H215" t="s">
        <v>465</v>
      </c>
      <c r="I215" t="s">
        <v>466</v>
      </c>
      <c r="J215" t="str">
        <f>CONCATENATE("081201","")</f>
        <v>081201</v>
      </c>
      <c r="K215" t="s">
        <v>22</v>
      </c>
      <c r="L215" t="s">
        <v>23</v>
      </c>
      <c r="M215" t="str">
        <f t="shared" si="23"/>
        <v>1</v>
      </c>
      <c r="N215" t="str">
        <f>CONCATENATE("951741713","")</f>
        <v>951741713</v>
      </c>
      <c r="O215" t="str">
        <f t="shared" si="25"/>
        <v>1 </v>
      </c>
      <c r="P215">
        <v>538.15</v>
      </c>
      <c r="Q215" t="s">
        <v>27</v>
      </c>
    </row>
    <row r="216" spans="1:17" ht="15">
      <c r="A216" t="s">
        <v>17</v>
      </c>
      <c r="B216" s="1">
        <v>43180</v>
      </c>
      <c r="C216" t="s">
        <v>246</v>
      </c>
      <c r="D216" t="str">
        <f>CONCATENATE("0060009551","")</f>
        <v>0060009551</v>
      </c>
      <c r="E216" t="str">
        <f>CONCATENATE("0120138000210       ","")</f>
        <v>0120138000210       </v>
      </c>
      <c r="F216" t="str">
        <f>CONCATENATE("2014019984","")</f>
        <v>2014019984</v>
      </c>
      <c r="G216" t="s">
        <v>462</v>
      </c>
      <c r="H216" t="s">
        <v>467</v>
      </c>
      <c r="I216" t="s">
        <v>468</v>
      </c>
      <c r="J216" t="str">
        <f>CONCATENATE("081102","")</f>
        <v>081102</v>
      </c>
      <c r="K216" t="s">
        <v>22</v>
      </c>
      <c r="L216" t="s">
        <v>23</v>
      </c>
      <c r="M216" t="str">
        <f t="shared" si="23"/>
        <v>1</v>
      </c>
      <c r="O216" t="str">
        <f t="shared" si="25"/>
        <v>1 </v>
      </c>
      <c r="P216">
        <v>22.35</v>
      </c>
      <c r="Q216" t="s">
        <v>27</v>
      </c>
    </row>
    <row r="217" spans="1:17" ht="15">
      <c r="A217" t="s">
        <v>17</v>
      </c>
      <c r="B217" s="1">
        <v>43180</v>
      </c>
      <c r="C217" t="s">
        <v>278</v>
      </c>
      <c r="D217" t="str">
        <f>CONCATENATE("0060020774","")</f>
        <v>0060020774</v>
      </c>
      <c r="E217" t="str">
        <f>CONCATENATE("0120138000355       ","")</f>
        <v>0120138000355       </v>
      </c>
      <c r="F217" t="str">
        <f>CONCATENATE("607442534","")</f>
        <v>607442534</v>
      </c>
      <c r="G217" t="s">
        <v>462</v>
      </c>
      <c r="H217" t="s">
        <v>469</v>
      </c>
      <c r="I217" t="s">
        <v>470</v>
      </c>
      <c r="J217" t="str">
        <f aca="true" t="shared" si="26" ref="J217:J235">CONCATENATE("081201","")</f>
        <v>081201</v>
      </c>
      <c r="K217" t="s">
        <v>22</v>
      </c>
      <c r="L217" t="s">
        <v>23</v>
      </c>
      <c r="M217" t="str">
        <f t="shared" si="23"/>
        <v>1</v>
      </c>
      <c r="O217" t="str">
        <f t="shared" si="25"/>
        <v>1 </v>
      </c>
      <c r="P217">
        <v>16.7</v>
      </c>
      <c r="Q217" t="s">
        <v>27</v>
      </c>
    </row>
    <row r="218" spans="1:17" ht="15">
      <c r="A218" t="s">
        <v>17</v>
      </c>
      <c r="B218" s="1">
        <v>43180</v>
      </c>
      <c r="C218" t="s">
        <v>278</v>
      </c>
      <c r="D218" t="str">
        <f>CONCATENATE("0060009602","")</f>
        <v>0060009602</v>
      </c>
      <c r="E218" t="str">
        <f>CONCATENATE("0120139000120       ","")</f>
        <v>0120139000120       </v>
      </c>
      <c r="F218" t="str">
        <f>CONCATENATE("2014018955","")</f>
        <v>2014018955</v>
      </c>
      <c r="G218" t="s">
        <v>471</v>
      </c>
      <c r="H218" t="s">
        <v>472</v>
      </c>
      <c r="I218" t="s">
        <v>473</v>
      </c>
      <c r="J218" t="str">
        <f t="shared" si="26"/>
        <v>081201</v>
      </c>
      <c r="K218" t="s">
        <v>22</v>
      </c>
      <c r="L218" t="s">
        <v>23</v>
      </c>
      <c r="M218" t="str">
        <f t="shared" si="23"/>
        <v>1</v>
      </c>
      <c r="O218" t="str">
        <f t="shared" si="25"/>
        <v>1 </v>
      </c>
      <c r="P218">
        <v>13.1</v>
      </c>
      <c r="Q218" t="s">
        <v>27</v>
      </c>
    </row>
    <row r="219" spans="1:17" ht="15">
      <c r="A219" t="s">
        <v>17</v>
      </c>
      <c r="B219" s="1">
        <v>43180</v>
      </c>
      <c r="C219" t="s">
        <v>278</v>
      </c>
      <c r="D219" t="str">
        <f>CONCATENATE("0060009596","")</f>
        <v>0060009596</v>
      </c>
      <c r="E219" t="str">
        <f>CONCATENATE("0120139000180       ","")</f>
        <v>0120139000180       </v>
      </c>
      <c r="F219" t="str">
        <f>CONCATENATE("607538779","")</f>
        <v>607538779</v>
      </c>
      <c r="G219" t="s">
        <v>471</v>
      </c>
      <c r="H219" t="s">
        <v>474</v>
      </c>
      <c r="I219" t="s">
        <v>473</v>
      </c>
      <c r="J219" t="str">
        <f t="shared" si="26"/>
        <v>081201</v>
      </c>
      <c r="K219" t="s">
        <v>22</v>
      </c>
      <c r="L219" t="s">
        <v>23</v>
      </c>
      <c r="M219" t="str">
        <f t="shared" si="23"/>
        <v>1</v>
      </c>
      <c r="O219" t="str">
        <f t="shared" si="25"/>
        <v>1 </v>
      </c>
      <c r="P219">
        <v>18.85</v>
      </c>
      <c r="Q219" t="s">
        <v>27</v>
      </c>
    </row>
    <row r="220" spans="1:17" ht="15">
      <c r="A220" t="s">
        <v>17</v>
      </c>
      <c r="B220" s="1">
        <v>43180</v>
      </c>
      <c r="C220" t="s">
        <v>278</v>
      </c>
      <c r="D220" t="str">
        <f>CONCATENATE("0060009620","")</f>
        <v>0060009620</v>
      </c>
      <c r="E220" t="str">
        <f>CONCATENATE("0120139000290       ","")</f>
        <v>0120139000290       </v>
      </c>
      <c r="F220" t="str">
        <f>CONCATENATE("2014018953","")</f>
        <v>2014018953</v>
      </c>
      <c r="G220" t="s">
        <v>471</v>
      </c>
      <c r="H220" t="s">
        <v>475</v>
      </c>
      <c r="I220" t="s">
        <v>476</v>
      </c>
      <c r="J220" t="str">
        <f t="shared" si="26"/>
        <v>081201</v>
      </c>
      <c r="K220" t="s">
        <v>22</v>
      </c>
      <c r="L220" t="s">
        <v>23</v>
      </c>
      <c r="M220" t="str">
        <f t="shared" si="23"/>
        <v>1</v>
      </c>
      <c r="O220" t="str">
        <f t="shared" si="25"/>
        <v>1 </v>
      </c>
      <c r="P220">
        <v>27.3</v>
      </c>
      <c r="Q220" t="s">
        <v>27</v>
      </c>
    </row>
    <row r="221" spans="1:17" ht="15">
      <c r="A221" t="s">
        <v>17</v>
      </c>
      <c r="B221" s="1">
        <v>43180</v>
      </c>
      <c r="C221" t="s">
        <v>278</v>
      </c>
      <c r="D221" t="str">
        <f>CONCATENATE("0060001999","")</f>
        <v>0060001999</v>
      </c>
      <c r="E221" t="str">
        <f>CONCATENATE("0120140000050       ","")</f>
        <v>0120140000050       </v>
      </c>
      <c r="F221" t="str">
        <f>CONCATENATE("1943460","")</f>
        <v>1943460</v>
      </c>
      <c r="G221" t="s">
        <v>477</v>
      </c>
      <c r="H221" t="s">
        <v>478</v>
      </c>
      <c r="I221" t="s">
        <v>479</v>
      </c>
      <c r="J221" t="str">
        <f t="shared" si="26"/>
        <v>081201</v>
      </c>
      <c r="K221" t="s">
        <v>22</v>
      </c>
      <c r="L221" t="s">
        <v>23</v>
      </c>
      <c r="M221" t="str">
        <f aca="true" t="shared" si="27" ref="M221:M252">CONCATENATE("1","")</f>
        <v>1</v>
      </c>
      <c r="O221" t="str">
        <f t="shared" si="25"/>
        <v>1 </v>
      </c>
      <c r="P221">
        <v>18.65</v>
      </c>
      <c r="Q221" t="s">
        <v>27</v>
      </c>
    </row>
    <row r="222" spans="1:17" ht="15">
      <c r="A222" t="s">
        <v>17</v>
      </c>
      <c r="B222" s="1">
        <v>43180</v>
      </c>
      <c r="C222" t="s">
        <v>278</v>
      </c>
      <c r="D222" t="str">
        <f>CONCATENATE("0060002019","")</f>
        <v>0060002019</v>
      </c>
      <c r="E222" t="str">
        <f>CONCATENATE("0120140000200       ","")</f>
        <v>0120140000200       </v>
      </c>
      <c r="F222" t="str">
        <f>CONCATENATE("606603433","")</f>
        <v>606603433</v>
      </c>
      <c r="G222" t="s">
        <v>477</v>
      </c>
      <c r="H222" t="s">
        <v>480</v>
      </c>
      <c r="I222" t="s">
        <v>479</v>
      </c>
      <c r="J222" t="str">
        <f t="shared" si="26"/>
        <v>081201</v>
      </c>
      <c r="K222" t="s">
        <v>22</v>
      </c>
      <c r="L222" t="s">
        <v>23</v>
      </c>
      <c r="M222" t="str">
        <f t="shared" si="27"/>
        <v>1</v>
      </c>
      <c r="O222" t="str">
        <f t="shared" si="25"/>
        <v>1 </v>
      </c>
      <c r="P222">
        <v>105.3</v>
      </c>
      <c r="Q222" t="s">
        <v>27</v>
      </c>
    </row>
    <row r="223" spans="1:17" ht="15">
      <c r="A223" t="s">
        <v>17</v>
      </c>
      <c r="B223" s="1">
        <v>43180</v>
      </c>
      <c r="C223" t="s">
        <v>278</v>
      </c>
      <c r="D223" t="str">
        <f>CONCATENATE("0060002020","")</f>
        <v>0060002020</v>
      </c>
      <c r="E223" t="str">
        <f>CONCATENATE("0120140000210       ","")</f>
        <v>0120140000210       </v>
      </c>
      <c r="F223" t="str">
        <f>CONCATENATE("2129912","")</f>
        <v>2129912</v>
      </c>
      <c r="G223" t="s">
        <v>477</v>
      </c>
      <c r="H223" t="s">
        <v>481</v>
      </c>
      <c r="I223" t="s">
        <v>479</v>
      </c>
      <c r="J223" t="str">
        <f t="shared" si="26"/>
        <v>081201</v>
      </c>
      <c r="K223" t="s">
        <v>22</v>
      </c>
      <c r="L223" t="s">
        <v>23</v>
      </c>
      <c r="M223" t="str">
        <f t="shared" si="27"/>
        <v>1</v>
      </c>
      <c r="O223" t="str">
        <f t="shared" si="25"/>
        <v>1 </v>
      </c>
      <c r="P223">
        <v>11.85</v>
      </c>
      <c r="Q223" t="s">
        <v>27</v>
      </c>
    </row>
    <row r="224" spans="1:17" ht="15">
      <c r="A224" t="s">
        <v>17</v>
      </c>
      <c r="B224" s="1">
        <v>43180</v>
      </c>
      <c r="C224" t="s">
        <v>278</v>
      </c>
      <c r="D224" t="str">
        <f>CONCATENATE("0060002028","")</f>
        <v>0060002028</v>
      </c>
      <c r="E224" t="str">
        <f>CONCATENATE("0120140000255       ","")</f>
        <v>0120140000255       </v>
      </c>
      <c r="F224" t="str">
        <f>CONCATENATE("605878497","")</f>
        <v>605878497</v>
      </c>
      <c r="G224" t="s">
        <v>477</v>
      </c>
      <c r="H224" t="s">
        <v>482</v>
      </c>
      <c r="I224" t="s">
        <v>483</v>
      </c>
      <c r="J224" t="str">
        <f t="shared" si="26"/>
        <v>081201</v>
      </c>
      <c r="K224" t="s">
        <v>22</v>
      </c>
      <c r="L224" t="s">
        <v>23</v>
      </c>
      <c r="M224" t="str">
        <f t="shared" si="27"/>
        <v>1</v>
      </c>
      <c r="O224" t="str">
        <f t="shared" si="25"/>
        <v>1 </v>
      </c>
      <c r="P224">
        <v>60.25</v>
      </c>
      <c r="Q224" t="s">
        <v>27</v>
      </c>
    </row>
    <row r="225" spans="1:17" ht="15">
      <c r="A225" t="s">
        <v>17</v>
      </c>
      <c r="B225" s="1">
        <v>43180</v>
      </c>
      <c r="C225" t="s">
        <v>278</v>
      </c>
      <c r="D225" t="str">
        <f>CONCATENATE("0060014694","")</f>
        <v>0060014694</v>
      </c>
      <c r="E225" t="str">
        <f>CONCATENATE("0120140000515       ","")</f>
        <v>0120140000515       </v>
      </c>
      <c r="F225" t="str">
        <f>CONCATENATE("605932642","")</f>
        <v>605932642</v>
      </c>
      <c r="G225" t="s">
        <v>477</v>
      </c>
      <c r="H225" t="s">
        <v>484</v>
      </c>
      <c r="I225" t="s">
        <v>485</v>
      </c>
      <c r="J225" t="str">
        <f t="shared" si="26"/>
        <v>081201</v>
      </c>
      <c r="K225" t="s">
        <v>22</v>
      </c>
      <c r="L225" t="s">
        <v>23</v>
      </c>
      <c r="M225" t="str">
        <f t="shared" si="27"/>
        <v>1</v>
      </c>
      <c r="O225" t="str">
        <f t="shared" si="25"/>
        <v>1 </v>
      </c>
      <c r="P225">
        <v>45.9</v>
      </c>
      <c r="Q225" t="s">
        <v>27</v>
      </c>
    </row>
    <row r="226" spans="1:17" ht="15">
      <c r="A226" t="s">
        <v>17</v>
      </c>
      <c r="B226" s="1">
        <v>43180</v>
      </c>
      <c r="C226" t="s">
        <v>278</v>
      </c>
      <c r="D226" t="str">
        <f>CONCATENATE("0060018085","")</f>
        <v>0060018085</v>
      </c>
      <c r="E226" t="str">
        <f>CONCATENATE("0120140000611       ","")</f>
        <v>0120140000611       </v>
      </c>
      <c r="F226" t="str">
        <f>CONCATENATE("2121853","")</f>
        <v>2121853</v>
      </c>
      <c r="G226" t="s">
        <v>477</v>
      </c>
      <c r="H226" t="s">
        <v>486</v>
      </c>
      <c r="I226" t="s">
        <v>487</v>
      </c>
      <c r="J226" t="str">
        <f t="shared" si="26"/>
        <v>081201</v>
      </c>
      <c r="K226" t="s">
        <v>22</v>
      </c>
      <c r="L226" t="s">
        <v>23</v>
      </c>
      <c r="M226" t="str">
        <f t="shared" si="27"/>
        <v>1</v>
      </c>
      <c r="O226" t="str">
        <f t="shared" si="25"/>
        <v>1 </v>
      </c>
      <c r="P226">
        <v>19.5</v>
      </c>
      <c r="Q226" t="s">
        <v>27</v>
      </c>
    </row>
    <row r="227" spans="1:17" ht="15">
      <c r="A227" t="s">
        <v>17</v>
      </c>
      <c r="B227" s="1">
        <v>43180</v>
      </c>
      <c r="C227" t="s">
        <v>278</v>
      </c>
      <c r="D227" t="str">
        <f>CONCATENATE("0060026033","")</f>
        <v>0060026033</v>
      </c>
      <c r="E227" t="str">
        <f>CONCATENATE("0120140000837       ","")</f>
        <v>0120140000837       </v>
      </c>
      <c r="F227" t="str">
        <f>CONCATENATE("607655602","")</f>
        <v>607655602</v>
      </c>
      <c r="G227" t="s">
        <v>477</v>
      </c>
      <c r="H227" t="s">
        <v>488</v>
      </c>
      <c r="I227" t="s">
        <v>489</v>
      </c>
      <c r="J227" t="str">
        <f t="shared" si="26"/>
        <v>081201</v>
      </c>
      <c r="K227" t="s">
        <v>22</v>
      </c>
      <c r="L227" t="s">
        <v>23</v>
      </c>
      <c r="M227" t="str">
        <f t="shared" si="27"/>
        <v>1</v>
      </c>
      <c r="N227" t="str">
        <f>CONCATENATE("925300178","")</f>
        <v>925300178</v>
      </c>
      <c r="O227" t="str">
        <f t="shared" si="25"/>
        <v>1 </v>
      </c>
      <c r="P227">
        <v>49.45</v>
      </c>
      <c r="Q227" t="s">
        <v>27</v>
      </c>
    </row>
    <row r="228" spans="1:17" ht="15">
      <c r="A228" t="s">
        <v>17</v>
      </c>
      <c r="B228" s="1">
        <v>43180</v>
      </c>
      <c r="C228" t="s">
        <v>278</v>
      </c>
      <c r="D228" t="str">
        <f>CONCATENATE("0060011094","")</f>
        <v>0060011094</v>
      </c>
      <c r="E228" t="str">
        <f>CONCATENATE("0120140000972       ","")</f>
        <v>0120140000972       </v>
      </c>
      <c r="F228" t="str">
        <f>CONCATENATE("606758303","")</f>
        <v>606758303</v>
      </c>
      <c r="G228" t="s">
        <v>477</v>
      </c>
      <c r="H228" t="s">
        <v>490</v>
      </c>
      <c r="I228" t="s">
        <v>491</v>
      </c>
      <c r="J228" t="str">
        <f t="shared" si="26"/>
        <v>081201</v>
      </c>
      <c r="K228" t="s">
        <v>22</v>
      </c>
      <c r="L228" t="s">
        <v>23</v>
      </c>
      <c r="M228" t="str">
        <f t="shared" si="27"/>
        <v>1</v>
      </c>
      <c r="O228" t="str">
        <f t="shared" si="25"/>
        <v>1 </v>
      </c>
      <c r="P228">
        <v>35.1</v>
      </c>
      <c r="Q228" t="s">
        <v>27</v>
      </c>
    </row>
    <row r="229" spans="1:17" ht="15">
      <c r="A229" t="s">
        <v>17</v>
      </c>
      <c r="B229" s="1">
        <v>43180</v>
      </c>
      <c r="C229" t="s">
        <v>278</v>
      </c>
      <c r="D229" t="str">
        <f>CONCATENATE("0060009666","")</f>
        <v>0060009666</v>
      </c>
      <c r="E229" t="str">
        <f>CONCATENATE("0120140001342       ","")</f>
        <v>0120140001342       </v>
      </c>
      <c r="F229" t="str">
        <f>CONCATENATE("607655342","")</f>
        <v>607655342</v>
      </c>
      <c r="G229" t="s">
        <v>477</v>
      </c>
      <c r="H229" t="s">
        <v>492</v>
      </c>
      <c r="I229" t="s">
        <v>493</v>
      </c>
      <c r="J229" t="str">
        <f t="shared" si="26"/>
        <v>081201</v>
      </c>
      <c r="K229" t="s">
        <v>22</v>
      </c>
      <c r="L229" t="s">
        <v>23</v>
      </c>
      <c r="M229" t="str">
        <f t="shared" si="27"/>
        <v>1</v>
      </c>
      <c r="O229" t="str">
        <f t="shared" si="25"/>
        <v>1 </v>
      </c>
      <c r="P229">
        <v>36.95</v>
      </c>
      <c r="Q229" t="s">
        <v>27</v>
      </c>
    </row>
    <row r="230" spans="1:17" ht="15">
      <c r="A230" t="s">
        <v>17</v>
      </c>
      <c r="B230" s="1">
        <v>43180</v>
      </c>
      <c r="C230" t="s">
        <v>278</v>
      </c>
      <c r="D230" t="str">
        <f>CONCATENATE("0060022182","")</f>
        <v>0060022182</v>
      </c>
      <c r="E230" t="str">
        <f>CONCATENATE("0120140001346       ","")</f>
        <v>0120140001346       </v>
      </c>
      <c r="F230" t="str">
        <f>CONCATENATE("607538829","")</f>
        <v>607538829</v>
      </c>
      <c r="G230" t="s">
        <v>477</v>
      </c>
      <c r="H230" t="s">
        <v>494</v>
      </c>
      <c r="I230" t="s">
        <v>495</v>
      </c>
      <c r="J230" t="str">
        <f t="shared" si="26"/>
        <v>081201</v>
      </c>
      <c r="K230" t="s">
        <v>22</v>
      </c>
      <c r="L230" t="s">
        <v>23</v>
      </c>
      <c r="M230" t="str">
        <f t="shared" si="27"/>
        <v>1</v>
      </c>
      <c r="N230" t="str">
        <f>CONCATENATE("971546579","")</f>
        <v>971546579</v>
      </c>
      <c r="O230" t="str">
        <f t="shared" si="25"/>
        <v>1 </v>
      </c>
      <c r="P230">
        <v>199.9</v>
      </c>
      <c r="Q230" t="s">
        <v>27</v>
      </c>
    </row>
    <row r="231" spans="1:17" ht="15">
      <c r="A231" t="s">
        <v>17</v>
      </c>
      <c r="B231" s="1">
        <v>43180</v>
      </c>
      <c r="C231" t="s">
        <v>278</v>
      </c>
      <c r="D231" t="str">
        <f>CONCATENATE("0060002153","")</f>
        <v>0060002153</v>
      </c>
      <c r="E231" t="str">
        <f>CONCATENATE("0120140001400       ","")</f>
        <v>0120140001400       </v>
      </c>
      <c r="F231" t="str">
        <f>CONCATENATE("605878517","")</f>
        <v>605878517</v>
      </c>
      <c r="G231" t="s">
        <v>477</v>
      </c>
      <c r="H231" t="s">
        <v>496</v>
      </c>
      <c r="I231" t="s">
        <v>497</v>
      </c>
      <c r="J231" t="str">
        <f t="shared" si="26"/>
        <v>081201</v>
      </c>
      <c r="K231" t="s">
        <v>22</v>
      </c>
      <c r="L231" t="s">
        <v>23</v>
      </c>
      <c r="M231" t="str">
        <f t="shared" si="27"/>
        <v>1</v>
      </c>
      <c r="O231" t="str">
        <f t="shared" si="25"/>
        <v>1 </v>
      </c>
      <c r="P231">
        <v>14.3</v>
      </c>
      <c r="Q231" t="s">
        <v>27</v>
      </c>
    </row>
    <row r="232" spans="1:17" ht="15">
      <c r="A232" t="s">
        <v>17</v>
      </c>
      <c r="B232" s="1">
        <v>43180</v>
      </c>
      <c r="C232" t="s">
        <v>278</v>
      </c>
      <c r="D232" t="str">
        <f>CONCATENATE("0060002171","")</f>
        <v>0060002171</v>
      </c>
      <c r="E232" t="str">
        <f>CONCATENATE("0120155000230       ","")</f>
        <v>0120155000230       </v>
      </c>
      <c r="F232" t="str">
        <f>CONCATENATE("605055747","")</f>
        <v>605055747</v>
      </c>
      <c r="G232" t="s">
        <v>498</v>
      </c>
      <c r="H232" t="s">
        <v>499</v>
      </c>
      <c r="I232" t="s">
        <v>500</v>
      </c>
      <c r="J232" t="str">
        <f t="shared" si="26"/>
        <v>081201</v>
      </c>
      <c r="K232" t="s">
        <v>22</v>
      </c>
      <c r="L232" t="s">
        <v>23</v>
      </c>
      <c r="M232" t="str">
        <f t="shared" si="27"/>
        <v>1</v>
      </c>
      <c r="O232" t="str">
        <f t="shared" si="25"/>
        <v>1 </v>
      </c>
      <c r="P232">
        <v>58.65</v>
      </c>
      <c r="Q232" t="s">
        <v>27</v>
      </c>
    </row>
    <row r="233" spans="1:17" ht="15">
      <c r="A233" t="s">
        <v>17</v>
      </c>
      <c r="B233" s="1">
        <v>43180</v>
      </c>
      <c r="C233" t="s">
        <v>278</v>
      </c>
      <c r="D233" t="str">
        <f>CONCATENATE("0060002201","")</f>
        <v>0060002201</v>
      </c>
      <c r="E233" t="str">
        <f>CONCATENATE("0120155000590       ","")</f>
        <v>0120155000590       </v>
      </c>
      <c r="F233" t="str">
        <f>CONCATENATE("606752081","")</f>
        <v>606752081</v>
      </c>
      <c r="G233" t="s">
        <v>498</v>
      </c>
      <c r="H233" t="s">
        <v>501</v>
      </c>
      <c r="I233" t="s">
        <v>500</v>
      </c>
      <c r="J233" t="str">
        <f t="shared" si="26"/>
        <v>081201</v>
      </c>
      <c r="K233" t="s">
        <v>22</v>
      </c>
      <c r="L233" t="s">
        <v>23</v>
      </c>
      <c r="M233" t="str">
        <f t="shared" si="27"/>
        <v>1</v>
      </c>
      <c r="O233" t="str">
        <f t="shared" si="25"/>
        <v>1 </v>
      </c>
      <c r="P233">
        <v>10.8</v>
      </c>
      <c r="Q233" t="s">
        <v>27</v>
      </c>
    </row>
    <row r="234" spans="1:17" ht="15">
      <c r="A234" t="s">
        <v>17</v>
      </c>
      <c r="B234" s="1">
        <v>43180</v>
      </c>
      <c r="C234" t="s">
        <v>278</v>
      </c>
      <c r="D234" t="str">
        <f>CONCATENATE("0060002211","")</f>
        <v>0060002211</v>
      </c>
      <c r="E234" t="str">
        <f>CONCATENATE("0120155000730       ","")</f>
        <v>0120155000730       </v>
      </c>
      <c r="F234" t="str">
        <f>CONCATENATE("605352725","")</f>
        <v>605352725</v>
      </c>
      <c r="G234" t="s">
        <v>498</v>
      </c>
      <c r="H234" t="s">
        <v>502</v>
      </c>
      <c r="I234" t="s">
        <v>500</v>
      </c>
      <c r="J234" t="str">
        <f t="shared" si="26"/>
        <v>081201</v>
      </c>
      <c r="K234" t="s">
        <v>22</v>
      </c>
      <c r="L234" t="s">
        <v>23</v>
      </c>
      <c r="M234" t="str">
        <f t="shared" si="27"/>
        <v>1</v>
      </c>
      <c r="O234" t="str">
        <f t="shared" si="25"/>
        <v>1 </v>
      </c>
      <c r="P234">
        <v>12.35</v>
      </c>
      <c r="Q234" t="s">
        <v>27</v>
      </c>
    </row>
    <row r="235" spans="1:17" ht="15">
      <c r="A235" t="s">
        <v>17</v>
      </c>
      <c r="B235" s="1">
        <v>43180</v>
      </c>
      <c r="C235" t="s">
        <v>278</v>
      </c>
      <c r="D235" t="str">
        <f>CONCATENATE("0060002238","")</f>
        <v>0060002238</v>
      </c>
      <c r="E235" t="str">
        <f>CONCATENATE("0120155001150       ","")</f>
        <v>0120155001150       </v>
      </c>
      <c r="F235" t="str">
        <f>CONCATENATE("605772853","")</f>
        <v>605772853</v>
      </c>
      <c r="G235" t="s">
        <v>498</v>
      </c>
      <c r="H235" t="s">
        <v>503</v>
      </c>
      <c r="I235" t="s">
        <v>500</v>
      </c>
      <c r="J235" t="str">
        <f t="shared" si="26"/>
        <v>081201</v>
      </c>
      <c r="K235" t="s">
        <v>22</v>
      </c>
      <c r="L235" t="s">
        <v>23</v>
      </c>
      <c r="M235" t="str">
        <f t="shared" si="27"/>
        <v>1</v>
      </c>
      <c r="O235" t="str">
        <f t="shared" si="25"/>
        <v>1 </v>
      </c>
      <c r="P235">
        <v>18</v>
      </c>
      <c r="Q235" t="s">
        <v>27</v>
      </c>
    </row>
    <row r="236" spans="1:17" ht="15">
      <c r="A236" t="s">
        <v>17</v>
      </c>
      <c r="B236" s="1">
        <v>43180</v>
      </c>
      <c r="C236" t="s">
        <v>504</v>
      </c>
      <c r="D236" t="str">
        <f>CONCATENATE("0060002292","")</f>
        <v>0060002292</v>
      </c>
      <c r="E236" t="str">
        <f>CONCATENATE("0120201000100       ","")</f>
        <v>0120201000100       </v>
      </c>
      <c r="F236" t="str">
        <f>CONCATENATE("1930935","")</f>
        <v>1930935</v>
      </c>
      <c r="G236" t="s">
        <v>505</v>
      </c>
      <c r="H236" t="s">
        <v>506</v>
      </c>
      <c r="I236" t="s">
        <v>507</v>
      </c>
      <c r="J236" t="str">
        <f aca="true" t="shared" si="28" ref="J236:J249">CONCATENATE("081202","")</f>
        <v>081202</v>
      </c>
      <c r="K236" t="s">
        <v>22</v>
      </c>
      <c r="L236" t="s">
        <v>23</v>
      </c>
      <c r="M236" t="str">
        <f t="shared" si="27"/>
        <v>1</v>
      </c>
      <c r="O236" t="str">
        <f t="shared" si="25"/>
        <v>1 </v>
      </c>
      <c r="P236">
        <v>16.8</v>
      </c>
      <c r="Q236" t="s">
        <v>27</v>
      </c>
    </row>
    <row r="237" spans="1:17" ht="15">
      <c r="A237" t="s">
        <v>17</v>
      </c>
      <c r="B237" s="1">
        <v>43180</v>
      </c>
      <c r="C237" t="s">
        <v>504</v>
      </c>
      <c r="D237" t="str">
        <f>CONCATENATE("0060002298","")</f>
        <v>0060002298</v>
      </c>
      <c r="E237" t="str">
        <f>CONCATENATE("0120201000170       ","")</f>
        <v>0120201000170       </v>
      </c>
      <c r="F237" t="str">
        <f>CONCATENATE("1932883","")</f>
        <v>1932883</v>
      </c>
      <c r="G237" t="s">
        <v>505</v>
      </c>
      <c r="H237" t="s">
        <v>508</v>
      </c>
      <c r="I237" t="s">
        <v>507</v>
      </c>
      <c r="J237" t="str">
        <f t="shared" si="28"/>
        <v>081202</v>
      </c>
      <c r="K237" t="s">
        <v>22</v>
      </c>
      <c r="L237" t="s">
        <v>23</v>
      </c>
      <c r="M237" t="str">
        <f t="shared" si="27"/>
        <v>1</v>
      </c>
      <c r="O237" t="str">
        <f t="shared" si="25"/>
        <v>1 </v>
      </c>
      <c r="P237">
        <v>32.1</v>
      </c>
      <c r="Q237" t="s">
        <v>27</v>
      </c>
    </row>
    <row r="238" spans="1:17" ht="15">
      <c r="A238" t="s">
        <v>17</v>
      </c>
      <c r="B238" s="1">
        <v>43180</v>
      </c>
      <c r="C238" t="s">
        <v>504</v>
      </c>
      <c r="D238" t="str">
        <f>CONCATENATE("0060022018","")</f>
        <v>0060022018</v>
      </c>
      <c r="E238" t="str">
        <f>CONCATENATE("0120201000502       ","")</f>
        <v>0120201000502       </v>
      </c>
      <c r="F238" t="str">
        <f>CONCATENATE("607310472","")</f>
        <v>607310472</v>
      </c>
      <c r="G238" t="s">
        <v>505</v>
      </c>
      <c r="H238" t="s">
        <v>509</v>
      </c>
      <c r="I238" t="s">
        <v>510</v>
      </c>
      <c r="J238" t="str">
        <f t="shared" si="28"/>
        <v>081202</v>
      </c>
      <c r="K238" t="s">
        <v>22</v>
      </c>
      <c r="L238" t="s">
        <v>23</v>
      </c>
      <c r="M238" t="str">
        <f t="shared" si="27"/>
        <v>1</v>
      </c>
      <c r="N238" t="str">
        <f>CONCATENATE("982535009","")</f>
        <v>982535009</v>
      </c>
      <c r="O238" t="str">
        <f t="shared" si="25"/>
        <v>1 </v>
      </c>
      <c r="P238">
        <v>66.55</v>
      </c>
      <c r="Q238" t="s">
        <v>27</v>
      </c>
    </row>
    <row r="239" spans="1:17" ht="15">
      <c r="A239" t="s">
        <v>17</v>
      </c>
      <c r="B239" s="1">
        <v>43180</v>
      </c>
      <c r="C239" t="s">
        <v>504</v>
      </c>
      <c r="D239" t="str">
        <f>CONCATENATE("0060002337","")</f>
        <v>0060002337</v>
      </c>
      <c r="E239" t="str">
        <f>CONCATENATE("0120201000510       ","")</f>
        <v>0120201000510       </v>
      </c>
      <c r="F239" t="str">
        <f>CONCATENATE("1936315","")</f>
        <v>1936315</v>
      </c>
      <c r="G239" t="s">
        <v>505</v>
      </c>
      <c r="H239" t="s">
        <v>511</v>
      </c>
      <c r="I239" t="s">
        <v>512</v>
      </c>
      <c r="J239" t="str">
        <f t="shared" si="28"/>
        <v>081202</v>
      </c>
      <c r="K239" t="s">
        <v>22</v>
      </c>
      <c r="L239" t="s">
        <v>23</v>
      </c>
      <c r="M239" t="str">
        <f t="shared" si="27"/>
        <v>1</v>
      </c>
      <c r="O239" t="str">
        <f t="shared" si="25"/>
        <v>1 </v>
      </c>
      <c r="P239">
        <v>12.55</v>
      </c>
      <c r="Q239" t="s">
        <v>27</v>
      </c>
    </row>
    <row r="240" spans="1:17" ht="15">
      <c r="A240" t="s">
        <v>17</v>
      </c>
      <c r="B240" s="1">
        <v>43180</v>
      </c>
      <c r="C240" t="s">
        <v>504</v>
      </c>
      <c r="D240" t="str">
        <f>CONCATENATE("0060002362","")</f>
        <v>0060002362</v>
      </c>
      <c r="E240" t="str">
        <f>CONCATENATE("0120201000690       ","")</f>
        <v>0120201000690       </v>
      </c>
      <c r="F240" t="str">
        <f>CONCATENATE("2123257","")</f>
        <v>2123257</v>
      </c>
      <c r="G240" t="s">
        <v>505</v>
      </c>
      <c r="H240" t="s">
        <v>513</v>
      </c>
      <c r="I240" t="s">
        <v>514</v>
      </c>
      <c r="J240" t="str">
        <f t="shared" si="28"/>
        <v>081202</v>
      </c>
      <c r="K240" t="s">
        <v>22</v>
      </c>
      <c r="L240" t="s">
        <v>23</v>
      </c>
      <c r="M240" t="str">
        <f t="shared" si="27"/>
        <v>1</v>
      </c>
      <c r="O240" t="str">
        <f t="shared" si="25"/>
        <v>1 </v>
      </c>
      <c r="P240">
        <v>185.5</v>
      </c>
      <c r="Q240" t="s">
        <v>27</v>
      </c>
    </row>
    <row r="241" spans="1:17" ht="15">
      <c r="A241" t="s">
        <v>17</v>
      </c>
      <c r="B241" s="1">
        <v>43180</v>
      </c>
      <c r="C241" t="s">
        <v>504</v>
      </c>
      <c r="D241" t="str">
        <f>CONCATENATE("0060002374","")</f>
        <v>0060002374</v>
      </c>
      <c r="E241" t="str">
        <f>CONCATENATE("0120201000780       ","")</f>
        <v>0120201000780       </v>
      </c>
      <c r="F241" t="str">
        <f>CONCATENATE("1943628","")</f>
        <v>1943628</v>
      </c>
      <c r="G241" t="s">
        <v>505</v>
      </c>
      <c r="H241" t="s">
        <v>515</v>
      </c>
      <c r="I241" t="s">
        <v>516</v>
      </c>
      <c r="J241" t="str">
        <f t="shared" si="28"/>
        <v>081202</v>
      </c>
      <c r="K241" t="s">
        <v>22</v>
      </c>
      <c r="L241" t="s">
        <v>23</v>
      </c>
      <c r="M241" t="str">
        <f t="shared" si="27"/>
        <v>1</v>
      </c>
      <c r="O241" t="str">
        <f t="shared" si="25"/>
        <v>1 </v>
      </c>
      <c r="P241">
        <v>70.7</v>
      </c>
      <c r="Q241" t="s">
        <v>27</v>
      </c>
    </row>
    <row r="242" spans="1:17" ht="15">
      <c r="A242" t="s">
        <v>17</v>
      </c>
      <c r="B242" s="1">
        <v>43180</v>
      </c>
      <c r="C242" t="s">
        <v>504</v>
      </c>
      <c r="D242" t="str">
        <f>CONCATENATE("0060002384","")</f>
        <v>0060002384</v>
      </c>
      <c r="E242" t="str">
        <f>CONCATENATE("0120201000880       ","")</f>
        <v>0120201000880       </v>
      </c>
      <c r="F242" t="str">
        <f>CONCATENATE("1934507","")</f>
        <v>1934507</v>
      </c>
      <c r="G242" t="s">
        <v>505</v>
      </c>
      <c r="H242" t="s">
        <v>517</v>
      </c>
      <c r="I242" t="s">
        <v>518</v>
      </c>
      <c r="J242" t="str">
        <f t="shared" si="28"/>
        <v>081202</v>
      </c>
      <c r="K242" t="s">
        <v>22</v>
      </c>
      <c r="L242" t="s">
        <v>23</v>
      </c>
      <c r="M242" t="str">
        <f t="shared" si="27"/>
        <v>1</v>
      </c>
      <c r="O242" t="str">
        <f t="shared" si="25"/>
        <v>1 </v>
      </c>
      <c r="P242">
        <v>10.9</v>
      </c>
      <c r="Q242" t="s">
        <v>27</v>
      </c>
    </row>
    <row r="243" spans="1:17" ht="15">
      <c r="A243" t="s">
        <v>17</v>
      </c>
      <c r="B243" s="1">
        <v>43180</v>
      </c>
      <c r="C243" t="s">
        <v>504</v>
      </c>
      <c r="D243" t="str">
        <f>CONCATENATE("0060019325","")</f>
        <v>0060019325</v>
      </c>
      <c r="E243" t="str">
        <f>CONCATENATE("0120201000982       ","")</f>
        <v>0120201000982       </v>
      </c>
      <c r="F243" t="str">
        <f>CONCATENATE("606746327","")</f>
        <v>606746327</v>
      </c>
      <c r="G243" t="s">
        <v>505</v>
      </c>
      <c r="H243" t="s">
        <v>517</v>
      </c>
      <c r="I243" t="s">
        <v>519</v>
      </c>
      <c r="J243" t="str">
        <f t="shared" si="28"/>
        <v>081202</v>
      </c>
      <c r="K243" t="s">
        <v>22</v>
      </c>
      <c r="L243" t="s">
        <v>23</v>
      </c>
      <c r="M243" t="str">
        <f t="shared" si="27"/>
        <v>1</v>
      </c>
      <c r="O243" t="str">
        <f t="shared" si="25"/>
        <v>1 </v>
      </c>
      <c r="P243">
        <v>8.25</v>
      </c>
      <c r="Q243" t="s">
        <v>27</v>
      </c>
    </row>
    <row r="244" spans="1:17" ht="15">
      <c r="A244" t="s">
        <v>17</v>
      </c>
      <c r="B244" s="1">
        <v>43180</v>
      </c>
      <c r="C244" t="s">
        <v>504</v>
      </c>
      <c r="D244" t="str">
        <f>CONCATENATE("0060012641","")</f>
        <v>0060012641</v>
      </c>
      <c r="E244" t="str">
        <f>CONCATENATE("0120201001127       ","")</f>
        <v>0120201001127       </v>
      </c>
      <c r="F244" t="str">
        <f>CONCATENATE("605083420","")</f>
        <v>605083420</v>
      </c>
      <c r="G244" t="s">
        <v>505</v>
      </c>
      <c r="H244" t="s">
        <v>511</v>
      </c>
      <c r="I244" t="s">
        <v>520</v>
      </c>
      <c r="J244" t="str">
        <f t="shared" si="28"/>
        <v>081202</v>
      </c>
      <c r="K244" t="s">
        <v>22</v>
      </c>
      <c r="L244" t="s">
        <v>23</v>
      </c>
      <c r="M244" t="str">
        <f t="shared" si="27"/>
        <v>1</v>
      </c>
      <c r="O244" t="str">
        <f t="shared" si="25"/>
        <v>1 </v>
      </c>
      <c r="P244">
        <v>11.55</v>
      </c>
      <c r="Q244" t="s">
        <v>27</v>
      </c>
    </row>
    <row r="245" spans="1:17" ht="15">
      <c r="A245" t="s">
        <v>17</v>
      </c>
      <c r="B245" s="1">
        <v>43180</v>
      </c>
      <c r="C245" t="s">
        <v>504</v>
      </c>
      <c r="D245" t="str">
        <f>CONCATENATE("0060002421","")</f>
        <v>0060002421</v>
      </c>
      <c r="E245" t="str">
        <f>CONCATENATE("0120201001190       ","")</f>
        <v>0120201001190       </v>
      </c>
      <c r="F245" t="str">
        <f>CONCATENATE("2123256","")</f>
        <v>2123256</v>
      </c>
      <c r="G245" t="s">
        <v>505</v>
      </c>
      <c r="H245" t="e">
        <f>-MENA-GUZMAN-PEDRO</f>
        <v>#NAME?</v>
      </c>
      <c r="I245" t="s">
        <v>521</v>
      </c>
      <c r="J245" t="str">
        <f t="shared" si="28"/>
        <v>081202</v>
      </c>
      <c r="K245" t="s">
        <v>22</v>
      </c>
      <c r="L245" t="s">
        <v>23</v>
      </c>
      <c r="M245" t="str">
        <f t="shared" si="27"/>
        <v>1</v>
      </c>
      <c r="O245" t="str">
        <f t="shared" si="25"/>
        <v>1 </v>
      </c>
      <c r="P245">
        <v>31.1</v>
      </c>
      <c r="Q245" t="s">
        <v>27</v>
      </c>
    </row>
    <row r="246" spans="1:17" ht="15">
      <c r="A246" t="s">
        <v>17</v>
      </c>
      <c r="B246" s="1">
        <v>43180</v>
      </c>
      <c r="C246" t="s">
        <v>504</v>
      </c>
      <c r="D246" t="str">
        <f>CONCATENATE("0060002431","")</f>
        <v>0060002431</v>
      </c>
      <c r="E246" t="str">
        <f>CONCATENATE("0120201001280       ","")</f>
        <v>0120201001280       </v>
      </c>
      <c r="F246" t="str">
        <f>CONCATENATE("2129291","")</f>
        <v>2129291</v>
      </c>
      <c r="G246" t="s">
        <v>505</v>
      </c>
      <c r="H246" t="s">
        <v>522</v>
      </c>
      <c r="I246" t="s">
        <v>523</v>
      </c>
      <c r="J246" t="str">
        <f t="shared" si="28"/>
        <v>081202</v>
      </c>
      <c r="K246" t="s">
        <v>22</v>
      </c>
      <c r="L246" t="s">
        <v>23</v>
      </c>
      <c r="M246" t="str">
        <f t="shared" si="27"/>
        <v>1</v>
      </c>
      <c r="O246" t="str">
        <f t="shared" si="25"/>
        <v>1 </v>
      </c>
      <c r="P246">
        <v>28.15</v>
      </c>
      <c r="Q246" t="s">
        <v>27</v>
      </c>
    </row>
    <row r="247" spans="1:17" ht="15">
      <c r="A247" t="s">
        <v>17</v>
      </c>
      <c r="B247" s="1">
        <v>43180</v>
      </c>
      <c r="C247" t="s">
        <v>504</v>
      </c>
      <c r="D247" t="str">
        <f>CONCATENATE("0060011545","")</f>
        <v>0060011545</v>
      </c>
      <c r="E247" t="str">
        <f>CONCATENATE("0120201001505       ","")</f>
        <v>0120201001505       </v>
      </c>
      <c r="F247" t="str">
        <f>CONCATENATE("605112512","")</f>
        <v>605112512</v>
      </c>
      <c r="G247" t="s">
        <v>505</v>
      </c>
      <c r="H247" t="s">
        <v>524</v>
      </c>
      <c r="I247" t="s">
        <v>525</v>
      </c>
      <c r="J247" t="str">
        <f t="shared" si="28"/>
        <v>081202</v>
      </c>
      <c r="K247" t="s">
        <v>22</v>
      </c>
      <c r="L247" t="s">
        <v>23</v>
      </c>
      <c r="M247" t="str">
        <f t="shared" si="27"/>
        <v>1</v>
      </c>
      <c r="O247" t="str">
        <f t="shared" si="25"/>
        <v>1 </v>
      </c>
      <c r="P247">
        <v>57.3</v>
      </c>
      <c r="Q247" t="s">
        <v>27</v>
      </c>
    </row>
    <row r="248" spans="1:17" ht="15">
      <c r="A248" t="s">
        <v>17</v>
      </c>
      <c r="B248" s="1">
        <v>43180</v>
      </c>
      <c r="C248" t="s">
        <v>504</v>
      </c>
      <c r="D248" t="str">
        <f>CONCATENATE("0060008767","")</f>
        <v>0060008767</v>
      </c>
      <c r="E248" t="str">
        <f>CONCATENATE("0120202000565       ","")</f>
        <v>0120202000565       </v>
      </c>
      <c r="F248" t="str">
        <f>CONCATENATE("2150820","")</f>
        <v>2150820</v>
      </c>
      <c r="G248" t="s">
        <v>526</v>
      </c>
      <c r="H248" t="s">
        <v>527</v>
      </c>
      <c r="I248" t="s">
        <v>518</v>
      </c>
      <c r="J248" t="str">
        <f t="shared" si="28"/>
        <v>081202</v>
      </c>
      <c r="K248" t="s">
        <v>22</v>
      </c>
      <c r="L248" t="s">
        <v>23</v>
      </c>
      <c r="M248" t="str">
        <f t="shared" si="27"/>
        <v>1</v>
      </c>
      <c r="O248" t="str">
        <f t="shared" si="25"/>
        <v>1 </v>
      </c>
      <c r="P248">
        <v>39.8</v>
      </c>
      <c r="Q248" t="s">
        <v>27</v>
      </c>
    </row>
    <row r="249" spans="1:17" ht="15">
      <c r="A249" t="s">
        <v>17</v>
      </c>
      <c r="B249" s="1">
        <v>43180</v>
      </c>
      <c r="C249" t="s">
        <v>504</v>
      </c>
      <c r="D249" t="str">
        <f>CONCATENATE("0060002581","")</f>
        <v>0060002581</v>
      </c>
      <c r="E249" t="str">
        <f>CONCATENATE("0120202000680       ","")</f>
        <v>0120202000680       </v>
      </c>
      <c r="F249" t="str">
        <f>CONCATENATE("1932886","")</f>
        <v>1932886</v>
      </c>
      <c r="G249" t="s">
        <v>505</v>
      </c>
      <c r="H249" t="s">
        <v>528</v>
      </c>
      <c r="I249" t="s">
        <v>529</v>
      </c>
      <c r="J249" t="str">
        <f t="shared" si="28"/>
        <v>081202</v>
      </c>
      <c r="K249" t="s">
        <v>22</v>
      </c>
      <c r="L249" t="s">
        <v>23</v>
      </c>
      <c r="M249" t="str">
        <f t="shared" si="27"/>
        <v>1</v>
      </c>
      <c r="O249" t="str">
        <f t="shared" si="25"/>
        <v>1 </v>
      </c>
      <c r="P249">
        <v>14.5</v>
      </c>
      <c r="Q249" t="s">
        <v>27</v>
      </c>
    </row>
    <row r="250" spans="1:17" ht="15">
      <c r="A250" t="s">
        <v>17</v>
      </c>
      <c r="B250" s="1">
        <v>43180</v>
      </c>
      <c r="C250" t="s">
        <v>64</v>
      </c>
      <c r="D250" t="str">
        <f>CONCATENATE("0060026157","")</f>
        <v>0060026157</v>
      </c>
      <c r="E250" t="str">
        <f>CONCATENATE("0120202000694       ","")</f>
        <v>0120202000694       </v>
      </c>
      <c r="F250" t="str">
        <f>CONCATENATE("607653065","")</f>
        <v>607653065</v>
      </c>
      <c r="G250" t="s">
        <v>505</v>
      </c>
      <c r="H250" t="s">
        <v>530</v>
      </c>
      <c r="I250" t="s">
        <v>531</v>
      </c>
      <c r="J250" t="str">
        <f>CONCATENATE("081211","")</f>
        <v>081211</v>
      </c>
      <c r="K250" t="s">
        <v>22</v>
      </c>
      <c r="L250" t="s">
        <v>23</v>
      </c>
      <c r="M250" t="str">
        <f t="shared" si="27"/>
        <v>1</v>
      </c>
      <c r="N250" t="str">
        <f>CONCATENATE("984740377","")</f>
        <v>984740377</v>
      </c>
      <c r="O250" t="str">
        <f t="shared" si="25"/>
        <v>1 </v>
      </c>
      <c r="P250">
        <v>18.65</v>
      </c>
      <c r="Q250" t="s">
        <v>27</v>
      </c>
    </row>
    <row r="251" spans="1:17" ht="15">
      <c r="A251" t="s">
        <v>17</v>
      </c>
      <c r="B251" s="1">
        <v>43180</v>
      </c>
      <c r="C251" t="s">
        <v>504</v>
      </c>
      <c r="D251" t="str">
        <f>CONCATENATE("0060002583","")</f>
        <v>0060002583</v>
      </c>
      <c r="E251" t="str">
        <f>CONCATENATE("0120202000700       ","")</f>
        <v>0120202000700       </v>
      </c>
      <c r="F251" t="str">
        <f>CONCATENATE("1932891","")</f>
        <v>1932891</v>
      </c>
      <c r="G251" t="s">
        <v>505</v>
      </c>
      <c r="H251" t="s">
        <v>532</v>
      </c>
      <c r="I251" t="s">
        <v>533</v>
      </c>
      <c r="J251" t="str">
        <f aca="true" t="shared" si="29" ref="J251:J282">CONCATENATE("081202","")</f>
        <v>081202</v>
      </c>
      <c r="K251" t="s">
        <v>22</v>
      </c>
      <c r="L251" t="s">
        <v>23</v>
      </c>
      <c r="M251" t="str">
        <f t="shared" si="27"/>
        <v>1</v>
      </c>
      <c r="O251" t="str">
        <f t="shared" si="25"/>
        <v>1 </v>
      </c>
      <c r="P251">
        <v>90.95</v>
      </c>
      <c r="Q251" t="s">
        <v>27</v>
      </c>
    </row>
    <row r="252" spans="1:17" ht="15">
      <c r="A252" t="s">
        <v>17</v>
      </c>
      <c r="B252" s="1">
        <v>43180</v>
      </c>
      <c r="C252" t="s">
        <v>504</v>
      </c>
      <c r="D252" t="str">
        <f>CONCATENATE("0060012103","")</f>
        <v>0060012103</v>
      </c>
      <c r="E252" t="str">
        <f>CONCATENATE("0120202000725       ","")</f>
        <v>0120202000725       </v>
      </c>
      <c r="F252" t="str">
        <f>CONCATENATE("605121110","")</f>
        <v>605121110</v>
      </c>
      <c r="G252" t="s">
        <v>526</v>
      </c>
      <c r="H252" t="s">
        <v>534</v>
      </c>
      <c r="I252" t="s">
        <v>535</v>
      </c>
      <c r="J252" t="str">
        <f t="shared" si="29"/>
        <v>081202</v>
      </c>
      <c r="K252" t="s">
        <v>22</v>
      </c>
      <c r="L252" t="s">
        <v>23</v>
      </c>
      <c r="M252" t="str">
        <f t="shared" si="27"/>
        <v>1</v>
      </c>
      <c r="O252" t="str">
        <f t="shared" si="25"/>
        <v>1 </v>
      </c>
      <c r="P252">
        <v>45</v>
      </c>
      <c r="Q252" t="s">
        <v>27</v>
      </c>
    </row>
    <row r="253" spans="1:17" ht="15">
      <c r="A253" t="s">
        <v>17</v>
      </c>
      <c r="B253" s="1">
        <v>43180</v>
      </c>
      <c r="C253" t="s">
        <v>504</v>
      </c>
      <c r="D253" t="str">
        <f>CONCATENATE("0060012657","")</f>
        <v>0060012657</v>
      </c>
      <c r="E253" t="str">
        <f>CONCATENATE("0120202000728       ","")</f>
        <v>0120202000728       </v>
      </c>
      <c r="F253" t="str">
        <f>CONCATENATE("605083429","")</f>
        <v>605083429</v>
      </c>
      <c r="G253" t="s">
        <v>526</v>
      </c>
      <c r="H253" t="s">
        <v>536</v>
      </c>
      <c r="I253" t="s">
        <v>537</v>
      </c>
      <c r="J253" t="str">
        <f t="shared" si="29"/>
        <v>081202</v>
      </c>
      <c r="K253" t="s">
        <v>22</v>
      </c>
      <c r="L253" t="s">
        <v>23</v>
      </c>
      <c r="M253" t="str">
        <f aca="true" t="shared" si="30" ref="M253:M260">CONCATENATE("1","")</f>
        <v>1</v>
      </c>
      <c r="O253" t="str">
        <f t="shared" si="25"/>
        <v>1 </v>
      </c>
      <c r="P253">
        <v>30.9</v>
      </c>
      <c r="Q253" t="s">
        <v>27</v>
      </c>
    </row>
    <row r="254" spans="1:17" ht="15">
      <c r="A254" t="s">
        <v>17</v>
      </c>
      <c r="B254" s="1">
        <v>43180</v>
      </c>
      <c r="C254" t="s">
        <v>504</v>
      </c>
      <c r="D254" t="str">
        <f>CONCATENATE("0060014335","")</f>
        <v>0060014335</v>
      </c>
      <c r="E254" t="str">
        <f>CONCATENATE("0120202000791       ","")</f>
        <v>0120202000791       </v>
      </c>
      <c r="F254" t="str">
        <f>CONCATENATE("605765260","")</f>
        <v>605765260</v>
      </c>
      <c r="G254" t="s">
        <v>526</v>
      </c>
      <c r="H254" t="s">
        <v>538</v>
      </c>
      <c r="I254" t="s">
        <v>539</v>
      </c>
      <c r="J254" t="str">
        <f t="shared" si="29"/>
        <v>081202</v>
      </c>
      <c r="K254" t="s">
        <v>22</v>
      </c>
      <c r="L254" t="s">
        <v>23</v>
      </c>
      <c r="M254" t="str">
        <f t="shared" si="30"/>
        <v>1</v>
      </c>
      <c r="O254" t="str">
        <f t="shared" si="25"/>
        <v>1 </v>
      </c>
      <c r="P254">
        <v>48</v>
      </c>
      <c r="Q254" t="s">
        <v>27</v>
      </c>
    </row>
    <row r="255" spans="1:17" ht="15">
      <c r="A255" t="s">
        <v>17</v>
      </c>
      <c r="B255" s="1">
        <v>43180</v>
      </c>
      <c r="C255" t="s">
        <v>504</v>
      </c>
      <c r="D255" t="str">
        <f>CONCATENATE("0060013330","")</f>
        <v>0060013330</v>
      </c>
      <c r="E255" t="str">
        <f>CONCATENATE("0120202001068       ","")</f>
        <v>0120202001068       </v>
      </c>
      <c r="F255" t="str">
        <f>CONCATENATE("605282294","")</f>
        <v>605282294</v>
      </c>
      <c r="G255" t="s">
        <v>526</v>
      </c>
      <c r="H255" t="s">
        <v>540</v>
      </c>
      <c r="I255" t="s">
        <v>541</v>
      </c>
      <c r="J255" t="str">
        <f t="shared" si="29"/>
        <v>081202</v>
      </c>
      <c r="K255" t="s">
        <v>22</v>
      </c>
      <c r="L255" t="s">
        <v>23</v>
      </c>
      <c r="M255" t="str">
        <f t="shared" si="30"/>
        <v>1</v>
      </c>
      <c r="O255" t="str">
        <f t="shared" si="25"/>
        <v>1 </v>
      </c>
      <c r="P255">
        <v>43.4</v>
      </c>
      <c r="Q255" t="s">
        <v>27</v>
      </c>
    </row>
    <row r="256" spans="1:17" ht="15">
      <c r="A256" t="s">
        <v>17</v>
      </c>
      <c r="B256" s="1">
        <v>43180</v>
      </c>
      <c r="C256" t="s">
        <v>504</v>
      </c>
      <c r="D256" t="str">
        <f>CONCATENATE("0060010981","")</f>
        <v>0060010981</v>
      </c>
      <c r="E256" t="str">
        <f>CONCATENATE("0120202001072       ","")</f>
        <v>0120202001072       </v>
      </c>
      <c r="F256" t="str">
        <f>CONCATENATE("606665378","")</f>
        <v>606665378</v>
      </c>
      <c r="G256" t="s">
        <v>526</v>
      </c>
      <c r="H256" t="s">
        <v>542</v>
      </c>
      <c r="I256" t="s">
        <v>543</v>
      </c>
      <c r="J256" t="str">
        <f t="shared" si="29"/>
        <v>081202</v>
      </c>
      <c r="K256" t="s">
        <v>22</v>
      </c>
      <c r="L256" t="s">
        <v>23</v>
      </c>
      <c r="M256" t="str">
        <f t="shared" si="30"/>
        <v>1</v>
      </c>
      <c r="O256" t="str">
        <f t="shared" si="25"/>
        <v>1 </v>
      </c>
      <c r="P256">
        <v>27.15</v>
      </c>
      <c r="Q256" t="s">
        <v>27</v>
      </c>
    </row>
    <row r="257" spans="1:17" ht="15">
      <c r="A257" t="s">
        <v>17</v>
      </c>
      <c r="B257" s="1">
        <v>43180</v>
      </c>
      <c r="C257" t="s">
        <v>504</v>
      </c>
      <c r="D257" t="str">
        <f>CONCATENATE("0060019695","")</f>
        <v>0060019695</v>
      </c>
      <c r="E257" t="str">
        <f>CONCATENATE("0120202001155       ","")</f>
        <v>0120202001155       </v>
      </c>
      <c r="F257" t="str">
        <f>CONCATENATE("606799033","")</f>
        <v>606799033</v>
      </c>
      <c r="G257" t="s">
        <v>526</v>
      </c>
      <c r="H257" t="s">
        <v>544</v>
      </c>
      <c r="I257" t="s">
        <v>545</v>
      </c>
      <c r="J257" t="str">
        <f t="shared" si="29"/>
        <v>081202</v>
      </c>
      <c r="K257" t="s">
        <v>22</v>
      </c>
      <c r="L257" t="s">
        <v>23</v>
      </c>
      <c r="M257" t="str">
        <f t="shared" si="30"/>
        <v>1</v>
      </c>
      <c r="O257" t="str">
        <f t="shared" si="25"/>
        <v>1 </v>
      </c>
      <c r="P257">
        <v>11.85</v>
      </c>
      <c r="Q257" t="s">
        <v>27</v>
      </c>
    </row>
    <row r="258" spans="1:17" ht="15">
      <c r="A258" t="s">
        <v>17</v>
      </c>
      <c r="B258" s="1">
        <v>43180</v>
      </c>
      <c r="C258" t="s">
        <v>504</v>
      </c>
      <c r="D258" t="str">
        <f>CONCATENATE("0060019374","")</f>
        <v>0060019374</v>
      </c>
      <c r="E258" t="str">
        <f>CONCATENATE("0120204000199       ","")</f>
        <v>0120204000199       </v>
      </c>
      <c r="F258" t="str">
        <f>CONCATENATE("606670240","")</f>
        <v>606670240</v>
      </c>
      <c r="G258" t="s">
        <v>546</v>
      </c>
      <c r="H258" t="s">
        <v>547</v>
      </c>
      <c r="I258" t="s">
        <v>548</v>
      </c>
      <c r="J258" t="str">
        <f t="shared" si="29"/>
        <v>081202</v>
      </c>
      <c r="K258" t="s">
        <v>22</v>
      </c>
      <c r="L258" t="s">
        <v>23</v>
      </c>
      <c r="M258" t="str">
        <f t="shared" si="30"/>
        <v>1</v>
      </c>
      <c r="O258" t="str">
        <f aca="true" t="shared" si="31" ref="O258:O321">CONCATENATE("1 ","")</f>
        <v>1 </v>
      </c>
      <c r="P258">
        <v>13.1</v>
      </c>
      <c r="Q258" t="s">
        <v>27</v>
      </c>
    </row>
    <row r="259" spans="1:17" ht="15">
      <c r="A259" t="s">
        <v>17</v>
      </c>
      <c r="B259" s="1">
        <v>43180</v>
      </c>
      <c r="C259" t="s">
        <v>504</v>
      </c>
      <c r="D259" t="str">
        <f>CONCATENATE("0060025292","")</f>
        <v>0060025292</v>
      </c>
      <c r="E259" t="str">
        <f>CONCATENATE("0120205000113       ","")</f>
        <v>0120205000113       </v>
      </c>
      <c r="F259" t="str">
        <f>CONCATENATE("607546551","")</f>
        <v>607546551</v>
      </c>
      <c r="G259" t="s">
        <v>549</v>
      </c>
      <c r="H259" t="s">
        <v>550</v>
      </c>
      <c r="I259" t="s">
        <v>551</v>
      </c>
      <c r="J259" t="str">
        <f t="shared" si="29"/>
        <v>081202</v>
      </c>
      <c r="K259" t="s">
        <v>22</v>
      </c>
      <c r="L259" t="s">
        <v>23</v>
      </c>
      <c r="M259" t="str">
        <f t="shared" si="30"/>
        <v>1</v>
      </c>
      <c r="N259" t="str">
        <f>CONCATENATE("953466538","")</f>
        <v>953466538</v>
      </c>
      <c r="O259" t="str">
        <f t="shared" si="31"/>
        <v>1 </v>
      </c>
      <c r="P259">
        <v>99.8</v>
      </c>
      <c r="Q259" t="s">
        <v>27</v>
      </c>
    </row>
    <row r="260" spans="1:17" ht="15">
      <c r="A260" t="s">
        <v>17</v>
      </c>
      <c r="B260" s="1">
        <v>43180</v>
      </c>
      <c r="C260" t="s">
        <v>504</v>
      </c>
      <c r="D260" t="str">
        <f>CONCATENATE("0060008722","")</f>
        <v>0060008722</v>
      </c>
      <c r="E260" t="str">
        <f>CONCATENATE("0120205000151       ","")</f>
        <v>0120205000151       </v>
      </c>
      <c r="F260" t="str">
        <f>CONCATENATE("606673849","")</f>
        <v>606673849</v>
      </c>
      <c r="G260" t="s">
        <v>549</v>
      </c>
      <c r="H260" t="s">
        <v>552</v>
      </c>
      <c r="I260" t="s">
        <v>553</v>
      </c>
      <c r="J260" t="str">
        <f t="shared" si="29"/>
        <v>081202</v>
      </c>
      <c r="K260" t="s">
        <v>22</v>
      </c>
      <c r="L260" t="s">
        <v>23</v>
      </c>
      <c r="M260" t="str">
        <f t="shared" si="30"/>
        <v>1</v>
      </c>
      <c r="O260" t="str">
        <f t="shared" si="31"/>
        <v>1 </v>
      </c>
      <c r="P260">
        <v>94.9</v>
      </c>
      <c r="Q260" t="s">
        <v>27</v>
      </c>
    </row>
    <row r="261" spans="1:17" ht="15">
      <c r="A261" t="s">
        <v>17</v>
      </c>
      <c r="B261" s="1">
        <v>43180</v>
      </c>
      <c r="C261" t="s">
        <v>504</v>
      </c>
      <c r="D261" t="str">
        <f>CONCATENATE("0060012528","")</f>
        <v>0060012528</v>
      </c>
      <c r="E261" t="str">
        <f>CONCATENATE("0120205000175       ","")</f>
        <v>0120205000175       </v>
      </c>
      <c r="F261" t="str">
        <f>CONCATENATE("606809838","")</f>
        <v>606809838</v>
      </c>
      <c r="G261" t="s">
        <v>549</v>
      </c>
      <c r="H261" t="s">
        <v>554</v>
      </c>
      <c r="I261" t="s">
        <v>555</v>
      </c>
      <c r="J261" t="str">
        <f t="shared" si="29"/>
        <v>081202</v>
      </c>
      <c r="K261" t="s">
        <v>22</v>
      </c>
      <c r="L261" t="s">
        <v>23</v>
      </c>
      <c r="M261" t="str">
        <f>CONCATENATE("3","")</f>
        <v>3</v>
      </c>
      <c r="O261" t="str">
        <f t="shared" si="31"/>
        <v>1 </v>
      </c>
      <c r="P261">
        <v>68.9</v>
      </c>
      <c r="Q261" t="s">
        <v>27</v>
      </c>
    </row>
    <row r="262" spans="1:17" ht="15">
      <c r="A262" t="s">
        <v>17</v>
      </c>
      <c r="B262" s="1">
        <v>43180</v>
      </c>
      <c r="C262" t="s">
        <v>504</v>
      </c>
      <c r="D262" t="str">
        <f>CONCATENATE("0060013463","")</f>
        <v>0060013463</v>
      </c>
      <c r="E262" t="str">
        <f>CONCATENATE("0120208000180       ","")</f>
        <v>0120208000180       </v>
      </c>
      <c r="F262" t="str">
        <f>CONCATENATE("607443781","")</f>
        <v>607443781</v>
      </c>
      <c r="G262" t="s">
        <v>556</v>
      </c>
      <c r="H262" t="s">
        <v>557</v>
      </c>
      <c r="I262" t="s">
        <v>558</v>
      </c>
      <c r="J262" t="str">
        <f t="shared" si="29"/>
        <v>081202</v>
      </c>
      <c r="K262" t="s">
        <v>22</v>
      </c>
      <c r="L262" t="s">
        <v>23</v>
      </c>
      <c r="M262" t="str">
        <f aca="true" t="shared" si="32" ref="M262:M277">CONCATENATE("1","")</f>
        <v>1</v>
      </c>
      <c r="O262" t="str">
        <f t="shared" si="31"/>
        <v>1 </v>
      </c>
      <c r="P262">
        <v>28.3</v>
      </c>
      <c r="Q262" t="s">
        <v>27</v>
      </c>
    </row>
    <row r="263" spans="1:17" ht="15">
      <c r="A263" t="s">
        <v>17</v>
      </c>
      <c r="B263" s="1">
        <v>43180</v>
      </c>
      <c r="C263" t="s">
        <v>504</v>
      </c>
      <c r="D263" t="str">
        <f>CONCATENATE("0060013538","")</f>
        <v>0060013538</v>
      </c>
      <c r="E263" t="str">
        <f>CONCATENATE("0120208000440       ","")</f>
        <v>0120208000440       </v>
      </c>
      <c r="F263" t="str">
        <f>CONCATENATE("606897494","")</f>
        <v>606897494</v>
      </c>
      <c r="G263" t="s">
        <v>556</v>
      </c>
      <c r="H263" t="s">
        <v>559</v>
      </c>
      <c r="I263" t="s">
        <v>560</v>
      </c>
      <c r="J263" t="str">
        <f t="shared" si="29"/>
        <v>081202</v>
      </c>
      <c r="K263" t="s">
        <v>22</v>
      </c>
      <c r="L263" t="s">
        <v>23</v>
      </c>
      <c r="M263" t="str">
        <f t="shared" si="32"/>
        <v>1</v>
      </c>
      <c r="O263" t="str">
        <f t="shared" si="31"/>
        <v>1 </v>
      </c>
      <c r="P263">
        <v>14.25</v>
      </c>
      <c r="Q263" t="s">
        <v>27</v>
      </c>
    </row>
    <row r="264" spans="1:17" ht="15">
      <c r="A264" t="s">
        <v>17</v>
      </c>
      <c r="B264" s="1">
        <v>43180</v>
      </c>
      <c r="C264" t="s">
        <v>504</v>
      </c>
      <c r="D264" t="str">
        <f>CONCATENATE("0060019146","")</f>
        <v>0060019146</v>
      </c>
      <c r="E264" t="str">
        <f>CONCATENATE("0120208000535       ","")</f>
        <v>0120208000535       </v>
      </c>
      <c r="F264" t="str">
        <f>CONCATENATE("606591041","")</f>
        <v>606591041</v>
      </c>
      <c r="G264" t="s">
        <v>556</v>
      </c>
      <c r="H264" t="s">
        <v>561</v>
      </c>
      <c r="I264" t="s">
        <v>562</v>
      </c>
      <c r="J264" t="str">
        <f t="shared" si="29"/>
        <v>081202</v>
      </c>
      <c r="K264" t="s">
        <v>22</v>
      </c>
      <c r="L264" t="s">
        <v>23</v>
      </c>
      <c r="M264" t="str">
        <f t="shared" si="32"/>
        <v>1</v>
      </c>
      <c r="O264" t="str">
        <f t="shared" si="31"/>
        <v>1 </v>
      </c>
      <c r="P264">
        <v>18.5</v>
      </c>
      <c r="Q264" t="s">
        <v>27</v>
      </c>
    </row>
    <row r="265" spans="1:17" ht="15">
      <c r="A265" t="s">
        <v>17</v>
      </c>
      <c r="B265" s="1">
        <v>43180</v>
      </c>
      <c r="C265" t="s">
        <v>504</v>
      </c>
      <c r="D265" t="str">
        <f>CONCATENATE("0060020584","")</f>
        <v>0060020584</v>
      </c>
      <c r="E265" t="str">
        <f>CONCATENATE("0120208000771       ","")</f>
        <v>0120208000771       </v>
      </c>
      <c r="F265" t="str">
        <f>CONCATENATE("606931119","")</f>
        <v>606931119</v>
      </c>
      <c r="G265" t="s">
        <v>556</v>
      </c>
      <c r="H265" t="s">
        <v>563</v>
      </c>
      <c r="I265" t="s">
        <v>564</v>
      </c>
      <c r="J265" t="str">
        <f t="shared" si="29"/>
        <v>081202</v>
      </c>
      <c r="K265" t="s">
        <v>22</v>
      </c>
      <c r="L265" t="s">
        <v>23</v>
      </c>
      <c r="M265" t="str">
        <f t="shared" si="32"/>
        <v>1</v>
      </c>
      <c r="N265" t="str">
        <f>CONCATENATE("973111868","")</f>
        <v>973111868</v>
      </c>
      <c r="O265" t="str">
        <f t="shared" si="31"/>
        <v>1 </v>
      </c>
      <c r="P265">
        <v>17.2</v>
      </c>
      <c r="Q265" t="s">
        <v>27</v>
      </c>
    </row>
    <row r="266" spans="1:17" ht="15">
      <c r="A266" t="s">
        <v>17</v>
      </c>
      <c r="B266" s="1">
        <v>43180</v>
      </c>
      <c r="C266" t="s">
        <v>504</v>
      </c>
      <c r="D266" t="str">
        <f>CONCATENATE("0060025642","")</f>
        <v>0060025642</v>
      </c>
      <c r="E266" t="str">
        <f>CONCATENATE("0120209000031       ","")</f>
        <v>0120209000031       </v>
      </c>
      <c r="F266" t="str">
        <f>CONCATENATE("607661123","")</f>
        <v>607661123</v>
      </c>
      <c r="G266" t="s">
        <v>549</v>
      </c>
      <c r="H266" t="s">
        <v>565</v>
      </c>
      <c r="I266" t="s">
        <v>566</v>
      </c>
      <c r="J266" t="str">
        <f t="shared" si="29"/>
        <v>081202</v>
      </c>
      <c r="K266" t="s">
        <v>22</v>
      </c>
      <c r="L266" t="s">
        <v>23</v>
      </c>
      <c r="M266" t="str">
        <f t="shared" si="32"/>
        <v>1</v>
      </c>
      <c r="N266" t="str">
        <f>CONCATENATE("984001838","")</f>
        <v>984001838</v>
      </c>
      <c r="O266" t="str">
        <f t="shared" si="31"/>
        <v>1 </v>
      </c>
      <c r="P266">
        <v>91.95</v>
      </c>
      <c r="Q266" t="s">
        <v>27</v>
      </c>
    </row>
    <row r="267" spans="1:17" ht="15">
      <c r="A267" t="s">
        <v>17</v>
      </c>
      <c r="B267" s="1">
        <v>43180</v>
      </c>
      <c r="C267" t="s">
        <v>504</v>
      </c>
      <c r="D267" t="str">
        <f>CONCATENATE("0060019361","")</f>
        <v>0060019361</v>
      </c>
      <c r="E267" t="str">
        <f>CONCATENATE("0120211000023       ","")</f>
        <v>0120211000023       </v>
      </c>
      <c r="F267" t="str">
        <f>CONCATENATE("606670228","")</f>
        <v>606670228</v>
      </c>
      <c r="G267" t="s">
        <v>546</v>
      </c>
      <c r="H267" t="s">
        <v>567</v>
      </c>
      <c r="I267" t="s">
        <v>568</v>
      </c>
      <c r="J267" t="str">
        <f t="shared" si="29"/>
        <v>081202</v>
      </c>
      <c r="K267" t="s">
        <v>22</v>
      </c>
      <c r="L267" t="s">
        <v>23</v>
      </c>
      <c r="M267" t="str">
        <f t="shared" si="32"/>
        <v>1</v>
      </c>
      <c r="O267" t="str">
        <f t="shared" si="31"/>
        <v>1 </v>
      </c>
      <c r="P267">
        <v>25.35</v>
      </c>
      <c r="Q267" t="s">
        <v>27</v>
      </c>
    </row>
    <row r="268" spans="1:17" ht="15">
      <c r="A268" t="s">
        <v>17</v>
      </c>
      <c r="B268" s="1">
        <v>43180</v>
      </c>
      <c r="C268" t="s">
        <v>504</v>
      </c>
      <c r="D268" t="str">
        <f>CONCATENATE("0060014950","")</f>
        <v>0060014950</v>
      </c>
      <c r="E268" t="str">
        <f>CONCATENATE("0120212000005       ","")</f>
        <v>0120212000005       </v>
      </c>
      <c r="F268" t="str">
        <f>CONCATENATE("606031933","")</f>
        <v>606031933</v>
      </c>
      <c r="G268" t="s">
        <v>526</v>
      </c>
      <c r="H268" t="s">
        <v>569</v>
      </c>
      <c r="I268" t="s">
        <v>570</v>
      </c>
      <c r="J268" t="str">
        <f t="shared" si="29"/>
        <v>081202</v>
      </c>
      <c r="K268" t="s">
        <v>22</v>
      </c>
      <c r="L268" t="s">
        <v>23</v>
      </c>
      <c r="M268" t="str">
        <f t="shared" si="32"/>
        <v>1</v>
      </c>
      <c r="O268" t="str">
        <f t="shared" si="31"/>
        <v>1 </v>
      </c>
      <c r="P268">
        <v>17.4</v>
      </c>
      <c r="Q268" t="s">
        <v>27</v>
      </c>
    </row>
    <row r="269" spans="1:17" ht="15">
      <c r="A269" t="s">
        <v>17</v>
      </c>
      <c r="B269" s="1">
        <v>43180</v>
      </c>
      <c r="C269" t="s">
        <v>504</v>
      </c>
      <c r="D269" t="str">
        <f>CONCATENATE("0060018294","")</f>
        <v>0060018294</v>
      </c>
      <c r="E269" t="str">
        <f>CONCATENATE("0120212000030       ","")</f>
        <v>0120212000030       </v>
      </c>
      <c r="F269" t="str">
        <f>CONCATENATE("2184544","")</f>
        <v>2184544</v>
      </c>
      <c r="G269" t="s">
        <v>526</v>
      </c>
      <c r="H269" t="s">
        <v>571</v>
      </c>
      <c r="I269" t="s">
        <v>572</v>
      </c>
      <c r="J269" t="str">
        <f t="shared" si="29"/>
        <v>081202</v>
      </c>
      <c r="K269" t="s">
        <v>22</v>
      </c>
      <c r="L269" t="s">
        <v>23</v>
      </c>
      <c r="M269" t="str">
        <f t="shared" si="32"/>
        <v>1</v>
      </c>
      <c r="O269" t="str">
        <f t="shared" si="31"/>
        <v>1 </v>
      </c>
      <c r="P269">
        <v>83.9</v>
      </c>
      <c r="Q269" t="s">
        <v>27</v>
      </c>
    </row>
    <row r="270" spans="1:17" ht="15">
      <c r="A270" t="s">
        <v>17</v>
      </c>
      <c r="B270" s="1">
        <v>43180</v>
      </c>
      <c r="C270" t="s">
        <v>504</v>
      </c>
      <c r="D270" t="str">
        <f>CONCATENATE("0060019431","")</f>
        <v>0060019431</v>
      </c>
      <c r="E270" t="str">
        <f>CONCATENATE("0120213000100       ","")</f>
        <v>0120213000100       </v>
      </c>
      <c r="F270" t="str">
        <f>CONCATENATE("0606670736","")</f>
        <v>0606670736</v>
      </c>
      <c r="G270" t="s">
        <v>573</v>
      </c>
      <c r="H270" t="s">
        <v>574</v>
      </c>
      <c r="I270" t="s">
        <v>575</v>
      </c>
      <c r="J270" t="str">
        <f t="shared" si="29"/>
        <v>081202</v>
      </c>
      <c r="K270" t="s">
        <v>22</v>
      </c>
      <c r="L270" t="s">
        <v>23</v>
      </c>
      <c r="M270" t="str">
        <f t="shared" si="32"/>
        <v>1</v>
      </c>
      <c r="O270" t="str">
        <f t="shared" si="31"/>
        <v>1 </v>
      </c>
      <c r="P270">
        <v>41.3</v>
      </c>
      <c r="Q270" t="s">
        <v>27</v>
      </c>
    </row>
    <row r="271" spans="1:17" ht="15">
      <c r="A271" t="s">
        <v>17</v>
      </c>
      <c r="B271" s="1">
        <v>43180</v>
      </c>
      <c r="C271" t="s">
        <v>504</v>
      </c>
      <c r="D271" t="str">
        <f>CONCATENATE("0060012268","")</f>
        <v>0060012268</v>
      </c>
      <c r="E271" t="str">
        <f>CONCATENATE("0120218000510       ","")</f>
        <v>0120218000510       </v>
      </c>
      <c r="F271" t="str">
        <f>CONCATENATE("607309444","")</f>
        <v>607309444</v>
      </c>
      <c r="G271" t="s">
        <v>576</v>
      </c>
      <c r="H271" t="s">
        <v>577</v>
      </c>
      <c r="I271" t="s">
        <v>578</v>
      </c>
      <c r="J271" t="str">
        <f t="shared" si="29"/>
        <v>081202</v>
      </c>
      <c r="K271" t="s">
        <v>22</v>
      </c>
      <c r="L271" t="s">
        <v>23</v>
      </c>
      <c r="M271" t="str">
        <f t="shared" si="32"/>
        <v>1</v>
      </c>
      <c r="O271" t="str">
        <f t="shared" si="31"/>
        <v>1 </v>
      </c>
      <c r="P271">
        <v>221.7</v>
      </c>
      <c r="Q271" t="s">
        <v>27</v>
      </c>
    </row>
    <row r="272" spans="1:17" ht="15">
      <c r="A272" t="s">
        <v>17</v>
      </c>
      <c r="B272" s="1">
        <v>43180</v>
      </c>
      <c r="C272" t="s">
        <v>504</v>
      </c>
      <c r="D272" t="str">
        <f>CONCATENATE("0060026114","")</f>
        <v>0060026114</v>
      </c>
      <c r="E272" t="str">
        <f>CONCATENATE("0120218002060       ","")</f>
        <v>0120218002060       </v>
      </c>
      <c r="F272" t="str">
        <f>CONCATENATE("607663621","")</f>
        <v>607663621</v>
      </c>
      <c r="G272" t="s">
        <v>579</v>
      </c>
      <c r="H272" t="s">
        <v>580</v>
      </c>
      <c r="I272" t="s">
        <v>581</v>
      </c>
      <c r="J272" t="str">
        <f t="shared" si="29"/>
        <v>081202</v>
      </c>
      <c r="K272" t="s">
        <v>22</v>
      </c>
      <c r="L272" t="s">
        <v>23</v>
      </c>
      <c r="M272" t="str">
        <f t="shared" si="32"/>
        <v>1</v>
      </c>
      <c r="O272" t="str">
        <f t="shared" si="31"/>
        <v>1 </v>
      </c>
      <c r="P272">
        <v>26.55</v>
      </c>
      <c r="Q272" t="s">
        <v>27</v>
      </c>
    </row>
    <row r="273" spans="1:17" ht="15">
      <c r="A273" t="s">
        <v>17</v>
      </c>
      <c r="B273" s="1">
        <v>43180</v>
      </c>
      <c r="C273" t="s">
        <v>504</v>
      </c>
      <c r="D273" t="str">
        <f>CONCATENATE("0060025808","")</f>
        <v>0060025808</v>
      </c>
      <c r="E273" t="str">
        <f>CONCATENATE("0120218002155       ","")</f>
        <v>0120218002155       </v>
      </c>
      <c r="F273" t="str">
        <f>CONCATENATE("607653487","")</f>
        <v>607653487</v>
      </c>
      <c r="G273" t="s">
        <v>579</v>
      </c>
      <c r="H273" t="s">
        <v>582</v>
      </c>
      <c r="I273" t="s">
        <v>581</v>
      </c>
      <c r="J273" t="str">
        <f t="shared" si="29"/>
        <v>081202</v>
      </c>
      <c r="K273" t="s">
        <v>22</v>
      </c>
      <c r="L273" t="s">
        <v>23</v>
      </c>
      <c r="M273" t="str">
        <f t="shared" si="32"/>
        <v>1</v>
      </c>
      <c r="N273" t="str">
        <f>CONCATENATE("984938335","")</f>
        <v>984938335</v>
      </c>
      <c r="O273" t="str">
        <f t="shared" si="31"/>
        <v>1 </v>
      </c>
      <c r="P273">
        <v>11.85</v>
      </c>
      <c r="Q273" t="s">
        <v>27</v>
      </c>
    </row>
    <row r="274" spans="1:17" ht="15">
      <c r="A274" t="s">
        <v>17</v>
      </c>
      <c r="B274" s="1">
        <v>43180</v>
      </c>
      <c r="C274" t="s">
        <v>504</v>
      </c>
      <c r="D274" t="str">
        <f>CONCATENATE("0060025774","")</f>
        <v>0060025774</v>
      </c>
      <c r="E274" t="str">
        <f>CONCATENATE("0120218002787       ","")</f>
        <v>0120218002787       </v>
      </c>
      <c r="F274" t="str">
        <f>CONCATENATE("607653510","")</f>
        <v>607653510</v>
      </c>
      <c r="G274" t="s">
        <v>583</v>
      </c>
      <c r="H274" t="s">
        <v>584</v>
      </c>
      <c r="I274" t="s">
        <v>581</v>
      </c>
      <c r="J274" t="str">
        <f t="shared" si="29"/>
        <v>081202</v>
      </c>
      <c r="K274" t="s">
        <v>22</v>
      </c>
      <c r="L274" t="s">
        <v>23</v>
      </c>
      <c r="M274" t="str">
        <f t="shared" si="32"/>
        <v>1</v>
      </c>
      <c r="N274" t="str">
        <f>CONCATENATE("972633097","")</f>
        <v>972633097</v>
      </c>
      <c r="O274" t="str">
        <f t="shared" si="31"/>
        <v>1 </v>
      </c>
      <c r="P274">
        <v>19.3</v>
      </c>
      <c r="Q274" t="s">
        <v>27</v>
      </c>
    </row>
    <row r="275" spans="1:17" ht="15">
      <c r="A275" t="s">
        <v>17</v>
      </c>
      <c r="B275" s="1">
        <v>43180</v>
      </c>
      <c r="C275" t="s">
        <v>504</v>
      </c>
      <c r="D275" t="str">
        <f>CONCATENATE("0060025815","")</f>
        <v>0060025815</v>
      </c>
      <c r="E275" t="str">
        <f>CONCATENATE("0120218002820       ","")</f>
        <v>0120218002820       </v>
      </c>
      <c r="F275" t="str">
        <f>CONCATENATE("607646849","")</f>
        <v>607646849</v>
      </c>
      <c r="G275" t="s">
        <v>583</v>
      </c>
      <c r="H275" t="s">
        <v>585</v>
      </c>
      <c r="I275" t="s">
        <v>581</v>
      </c>
      <c r="J275" t="str">
        <f t="shared" si="29"/>
        <v>081202</v>
      </c>
      <c r="K275" t="s">
        <v>22</v>
      </c>
      <c r="L275" t="s">
        <v>23</v>
      </c>
      <c r="M275" t="str">
        <f t="shared" si="32"/>
        <v>1</v>
      </c>
      <c r="N275" t="str">
        <f>CONCATENATE("989379014","")</f>
        <v>989379014</v>
      </c>
      <c r="O275" t="str">
        <f t="shared" si="31"/>
        <v>1 </v>
      </c>
      <c r="P275">
        <v>19.95</v>
      </c>
      <c r="Q275" t="s">
        <v>27</v>
      </c>
    </row>
    <row r="276" spans="1:17" ht="15">
      <c r="A276" t="s">
        <v>17</v>
      </c>
      <c r="B276" s="1">
        <v>43180</v>
      </c>
      <c r="C276" t="s">
        <v>504</v>
      </c>
      <c r="D276" t="str">
        <f>CONCATENATE("0060025857","")</f>
        <v>0060025857</v>
      </c>
      <c r="E276" t="str">
        <f>CONCATENATE("0120218003020       ","")</f>
        <v>0120218003020       </v>
      </c>
      <c r="F276" t="str">
        <f>CONCATENATE("607655323","")</f>
        <v>607655323</v>
      </c>
      <c r="G276" t="s">
        <v>583</v>
      </c>
      <c r="H276" t="s">
        <v>515</v>
      </c>
      <c r="I276" t="s">
        <v>586</v>
      </c>
      <c r="J276" t="str">
        <f t="shared" si="29"/>
        <v>081202</v>
      </c>
      <c r="K276" t="s">
        <v>22</v>
      </c>
      <c r="L276" t="s">
        <v>23</v>
      </c>
      <c r="M276" t="str">
        <f t="shared" si="32"/>
        <v>1</v>
      </c>
      <c r="N276" t="str">
        <f>CONCATENATE("984657006","")</f>
        <v>984657006</v>
      </c>
      <c r="O276" t="str">
        <f t="shared" si="31"/>
        <v>1 </v>
      </c>
      <c r="P276">
        <v>66</v>
      </c>
      <c r="Q276" t="s">
        <v>27</v>
      </c>
    </row>
    <row r="277" spans="1:17" ht="15">
      <c r="A277" t="s">
        <v>17</v>
      </c>
      <c r="B277" s="1">
        <v>43180</v>
      </c>
      <c r="C277" t="s">
        <v>504</v>
      </c>
      <c r="D277" t="str">
        <f>CONCATENATE("0060025838","")</f>
        <v>0060025838</v>
      </c>
      <c r="E277" t="str">
        <f>CONCATENATE("0120218003251       ","")</f>
        <v>0120218003251       </v>
      </c>
      <c r="F277" t="str">
        <f>CONCATENATE("607653189","")</f>
        <v>607653189</v>
      </c>
      <c r="G277" t="s">
        <v>587</v>
      </c>
      <c r="H277" t="s">
        <v>588</v>
      </c>
      <c r="I277" t="s">
        <v>581</v>
      </c>
      <c r="J277" t="str">
        <f t="shared" si="29"/>
        <v>081202</v>
      </c>
      <c r="K277" t="s">
        <v>22</v>
      </c>
      <c r="L277" t="s">
        <v>23</v>
      </c>
      <c r="M277" t="str">
        <f t="shared" si="32"/>
        <v>1</v>
      </c>
      <c r="N277" t="str">
        <f>CONCATENATE("94460054","")</f>
        <v>94460054</v>
      </c>
      <c r="O277" t="str">
        <f t="shared" si="31"/>
        <v>1 </v>
      </c>
      <c r="P277">
        <v>13.25</v>
      </c>
      <c r="Q277" t="s">
        <v>27</v>
      </c>
    </row>
    <row r="278" spans="1:17" ht="15">
      <c r="A278" t="s">
        <v>17</v>
      </c>
      <c r="B278" s="1">
        <v>43180</v>
      </c>
      <c r="C278" t="s">
        <v>504</v>
      </c>
      <c r="D278" t="str">
        <f>CONCATENATE("0060012002","")</f>
        <v>0060012002</v>
      </c>
      <c r="E278" t="str">
        <f>CONCATENATE("0120220000029       ","")</f>
        <v>0120220000029       </v>
      </c>
      <c r="F278" t="str">
        <f>CONCATENATE("607431761","")</f>
        <v>607431761</v>
      </c>
      <c r="G278" t="s">
        <v>589</v>
      </c>
      <c r="H278" t="s">
        <v>590</v>
      </c>
      <c r="I278" t="s">
        <v>591</v>
      </c>
      <c r="J278" t="str">
        <f t="shared" si="29"/>
        <v>081202</v>
      </c>
      <c r="K278" t="s">
        <v>22</v>
      </c>
      <c r="L278" t="s">
        <v>23</v>
      </c>
      <c r="M278" t="str">
        <f>CONCATENATE("3","")</f>
        <v>3</v>
      </c>
      <c r="O278" t="str">
        <f t="shared" si="31"/>
        <v>1 </v>
      </c>
      <c r="P278">
        <v>24.2</v>
      </c>
      <c r="Q278" t="s">
        <v>24</v>
      </c>
    </row>
    <row r="279" spans="1:17" ht="15">
      <c r="A279" t="s">
        <v>17</v>
      </c>
      <c r="B279" s="1">
        <v>43180</v>
      </c>
      <c r="C279" t="s">
        <v>504</v>
      </c>
      <c r="D279" t="str">
        <f>CONCATENATE("0060019169","")</f>
        <v>0060019169</v>
      </c>
      <c r="E279" t="str">
        <f>CONCATENATE("0120220000346       ","")</f>
        <v>0120220000346       </v>
      </c>
      <c r="F279" t="str">
        <f>CONCATENATE("606591052","")</f>
        <v>606591052</v>
      </c>
      <c r="G279" t="s">
        <v>589</v>
      </c>
      <c r="H279" t="s">
        <v>592</v>
      </c>
      <c r="I279" t="s">
        <v>593</v>
      </c>
      <c r="J279" t="str">
        <f t="shared" si="29"/>
        <v>081202</v>
      </c>
      <c r="K279" t="s">
        <v>22</v>
      </c>
      <c r="L279" t="s">
        <v>23</v>
      </c>
      <c r="M279" t="str">
        <f>CONCATENATE("1","")</f>
        <v>1</v>
      </c>
      <c r="O279" t="str">
        <f t="shared" si="31"/>
        <v>1 </v>
      </c>
      <c r="P279">
        <v>21.05</v>
      </c>
      <c r="Q279" t="s">
        <v>27</v>
      </c>
    </row>
    <row r="280" spans="1:17" ht="15">
      <c r="A280" t="s">
        <v>17</v>
      </c>
      <c r="B280" s="1">
        <v>43180</v>
      </c>
      <c r="C280" t="s">
        <v>504</v>
      </c>
      <c r="D280" t="str">
        <f>CONCATENATE("0060020332","")</f>
        <v>0060020332</v>
      </c>
      <c r="E280" t="str">
        <f>CONCATENATE("0120220000461       ","")</f>
        <v>0120220000461       </v>
      </c>
      <c r="F280" t="str">
        <f>CONCATENATE("606803917","")</f>
        <v>606803917</v>
      </c>
      <c r="G280" t="s">
        <v>589</v>
      </c>
      <c r="H280" t="s">
        <v>594</v>
      </c>
      <c r="I280" t="s">
        <v>595</v>
      </c>
      <c r="J280" t="str">
        <f t="shared" si="29"/>
        <v>081202</v>
      </c>
      <c r="K280" t="s">
        <v>22</v>
      </c>
      <c r="L280" t="s">
        <v>23</v>
      </c>
      <c r="M280" t="str">
        <f>CONCATENATE("1","")</f>
        <v>1</v>
      </c>
      <c r="O280" t="str">
        <f t="shared" si="31"/>
        <v>1 </v>
      </c>
      <c r="P280">
        <v>66.1</v>
      </c>
      <c r="Q280" t="s">
        <v>27</v>
      </c>
    </row>
    <row r="281" spans="1:17" ht="15">
      <c r="A281" t="s">
        <v>17</v>
      </c>
      <c r="B281" s="1">
        <v>43180</v>
      </c>
      <c r="C281" t="s">
        <v>504</v>
      </c>
      <c r="D281" t="str">
        <f>CONCATENATE("0060021545","")</f>
        <v>0060021545</v>
      </c>
      <c r="E281" t="str">
        <f>CONCATENATE("0120220000525       ","")</f>
        <v>0120220000525       </v>
      </c>
      <c r="F281" t="str">
        <f>CONCATENATE("606908359","")</f>
        <v>606908359</v>
      </c>
      <c r="G281" t="s">
        <v>589</v>
      </c>
      <c r="H281" t="s">
        <v>596</v>
      </c>
      <c r="I281" t="s">
        <v>597</v>
      </c>
      <c r="J281" t="str">
        <f t="shared" si="29"/>
        <v>081202</v>
      </c>
      <c r="K281" t="s">
        <v>22</v>
      </c>
      <c r="L281" t="s">
        <v>23</v>
      </c>
      <c r="M281" t="str">
        <f>CONCATENATE("1","")</f>
        <v>1</v>
      </c>
      <c r="N281" t="str">
        <f>CONCATENATE("956593782","")</f>
        <v>956593782</v>
      </c>
      <c r="O281" t="str">
        <f t="shared" si="31"/>
        <v>1 </v>
      </c>
      <c r="P281">
        <v>10.8</v>
      </c>
      <c r="Q281" t="s">
        <v>27</v>
      </c>
    </row>
    <row r="282" spans="1:17" ht="15">
      <c r="A282" t="s">
        <v>17</v>
      </c>
      <c r="B282" s="1">
        <v>43180</v>
      </c>
      <c r="C282" t="s">
        <v>504</v>
      </c>
      <c r="D282" t="str">
        <f>CONCATENATE("0060002799","")</f>
        <v>0060002799</v>
      </c>
      <c r="E282" t="str">
        <f>CONCATENATE("0120225000010       ","")</f>
        <v>0120225000010       </v>
      </c>
      <c r="F282" t="str">
        <f>CONCATENATE("606853110","")</f>
        <v>606853110</v>
      </c>
      <c r="G282" t="s">
        <v>598</v>
      </c>
      <c r="H282" t="s">
        <v>599</v>
      </c>
      <c r="I282" t="s">
        <v>600</v>
      </c>
      <c r="J282" t="str">
        <f t="shared" si="29"/>
        <v>081202</v>
      </c>
      <c r="K282" t="s">
        <v>22</v>
      </c>
      <c r="L282" t="s">
        <v>23</v>
      </c>
      <c r="M282" t="str">
        <f>CONCATENATE("1","")</f>
        <v>1</v>
      </c>
      <c r="O282" t="str">
        <f t="shared" si="31"/>
        <v>1 </v>
      </c>
      <c r="P282">
        <v>20.3</v>
      </c>
      <c r="Q282" t="s">
        <v>27</v>
      </c>
    </row>
    <row r="283" spans="1:17" ht="15">
      <c r="A283" t="s">
        <v>17</v>
      </c>
      <c r="B283" s="1">
        <v>43180</v>
      </c>
      <c r="C283" t="s">
        <v>504</v>
      </c>
      <c r="D283" t="str">
        <f>CONCATENATE("0060002844","")</f>
        <v>0060002844</v>
      </c>
      <c r="E283" t="str">
        <f>CONCATENATE("0120225000460       ","")</f>
        <v>0120225000460       </v>
      </c>
      <c r="F283" t="str">
        <f>CONCATENATE("110777","")</f>
        <v>110777</v>
      </c>
      <c r="G283" t="s">
        <v>598</v>
      </c>
      <c r="H283" t="s">
        <v>601</v>
      </c>
      <c r="I283" t="s">
        <v>600</v>
      </c>
      <c r="J283" t="str">
        <f aca="true" t="shared" si="33" ref="J283:J299">CONCATENATE("081202","")</f>
        <v>081202</v>
      </c>
      <c r="K283" t="s">
        <v>22</v>
      </c>
      <c r="L283" t="s">
        <v>23</v>
      </c>
      <c r="M283" t="str">
        <f>CONCATENATE("3","")</f>
        <v>3</v>
      </c>
      <c r="O283" t="str">
        <f t="shared" si="31"/>
        <v>1 </v>
      </c>
      <c r="P283">
        <v>32.6</v>
      </c>
      <c r="Q283" t="s">
        <v>24</v>
      </c>
    </row>
    <row r="284" spans="1:17" ht="15">
      <c r="A284" t="s">
        <v>17</v>
      </c>
      <c r="B284" s="1">
        <v>43180</v>
      </c>
      <c r="C284" t="s">
        <v>504</v>
      </c>
      <c r="D284" t="str">
        <f>CONCATENATE("0060008968","")</f>
        <v>0060008968</v>
      </c>
      <c r="E284" t="str">
        <f>CONCATENATE("0120225000512       ","")</f>
        <v>0120225000512       </v>
      </c>
      <c r="F284" t="str">
        <f>CONCATENATE("605938256","")</f>
        <v>605938256</v>
      </c>
      <c r="G284" t="s">
        <v>598</v>
      </c>
      <c r="H284" t="s">
        <v>602</v>
      </c>
      <c r="I284" t="s">
        <v>603</v>
      </c>
      <c r="J284" t="str">
        <f t="shared" si="33"/>
        <v>081202</v>
      </c>
      <c r="K284" t="s">
        <v>22</v>
      </c>
      <c r="L284" t="s">
        <v>23</v>
      </c>
      <c r="M284" t="str">
        <f>CONCATENATE("1","")</f>
        <v>1</v>
      </c>
      <c r="O284" t="str">
        <f t="shared" si="31"/>
        <v>1 </v>
      </c>
      <c r="P284">
        <v>29.95</v>
      </c>
      <c r="Q284" t="s">
        <v>27</v>
      </c>
    </row>
    <row r="285" spans="1:17" ht="15">
      <c r="A285" t="s">
        <v>17</v>
      </c>
      <c r="B285" s="1">
        <v>43180</v>
      </c>
      <c r="C285" t="s">
        <v>504</v>
      </c>
      <c r="D285" t="str">
        <f>CONCATENATE("0060002870","")</f>
        <v>0060002870</v>
      </c>
      <c r="E285" t="str">
        <f>CONCATENATE("0120226000160       ","")</f>
        <v>0120226000160       </v>
      </c>
      <c r="F285" t="str">
        <f>CONCATENATE("605055452","")</f>
        <v>605055452</v>
      </c>
      <c r="G285" t="s">
        <v>604</v>
      </c>
      <c r="H285" t="s">
        <v>605</v>
      </c>
      <c r="I285" t="s">
        <v>606</v>
      </c>
      <c r="J285" t="str">
        <f t="shared" si="33"/>
        <v>081202</v>
      </c>
      <c r="K285" t="s">
        <v>22</v>
      </c>
      <c r="L285" t="s">
        <v>23</v>
      </c>
      <c r="M285" t="str">
        <f>CONCATENATE("1","")</f>
        <v>1</v>
      </c>
      <c r="O285" t="str">
        <f t="shared" si="31"/>
        <v>1 </v>
      </c>
      <c r="P285">
        <v>14.9</v>
      </c>
      <c r="Q285" t="s">
        <v>27</v>
      </c>
    </row>
    <row r="286" spans="1:17" ht="15">
      <c r="A286" t="s">
        <v>17</v>
      </c>
      <c r="B286" s="1">
        <v>43180</v>
      </c>
      <c r="C286" t="s">
        <v>504</v>
      </c>
      <c r="D286" t="str">
        <f>CONCATENATE("0060002872","")</f>
        <v>0060002872</v>
      </c>
      <c r="E286" t="str">
        <f>CONCATENATE("0120226000180       ","")</f>
        <v>0120226000180       </v>
      </c>
      <c r="F286" t="str">
        <f>CONCATENATE("605055461","")</f>
        <v>605055461</v>
      </c>
      <c r="G286" t="s">
        <v>604</v>
      </c>
      <c r="H286" t="s">
        <v>607</v>
      </c>
      <c r="I286" t="s">
        <v>606</v>
      </c>
      <c r="J286" t="str">
        <f t="shared" si="33"/>
        <v>081202</v>
      </c>
      <c r="K286" t="s">
        <v>22</v>
      </c>
      <c r="L286" t="s">
        <v>23</v>
      </c>
      <c r="M286" t="str">
        <f>CONCATENATE("1","")</f>
        <v>1</v>
      </c>
      <c r="O286" t="str">
        <f t="shared" si="31"/>
        <v>1 </v>
      </c>
      <c r="P286">
        <v>62.4</v>
      </c>
      <c r="Q286" t="s">
        <v>27</v>
      </c>
    </row>
    <row r="287" spans="1:17" ht="15">
      <c r="A287" t="s">
        <v>17</v>
      </c>
      <c r="B287" s="1">
        <v>43180</v>
      </c>
      <c r="C287" t="s">
        <v>504</v>
      </c>
      <c r="D287" t="str">
        <f>CONCATENATE("0060015564","")</f>
        <v>0060015564</v>
      </c>
      <c r="E287" t="str">
        <f>CONCATENATE("0120226000185       ","")</f>
        <v>0120226000185       </v>
      </c>
      <c r="F287" t="str">
        <f>CONCATENATE("507008936","")</f>
        <v>507008936</v>
      </c>
      <c r="G287" t="s">
        <v>604</v>
      </c>
      <c r="H287" t="s">
        <v>608</v>
      </c>
      <c r="I287" t="s">
        <v>609</v>
      </c>
      <c r="J287" t="str">
        <f t="shared" si="33"/>
        <v>081202</v>
      </c>
      <c r="K287" t="s">
        <v>22</v>
      </c>
      <c r="L287" t="s">
        <v>23</v>
      </c>
      <c r="M287" t="str">
        <f>CONCATENATE("3","")</f>
        <v>3</v>
      </c>
      <c r="O287" t="str">
        <f t="shared" si="31"/>
        <v>1 </v>
      </c>
      <c r="P287">
        <v>24.25</v>
      </c>
      <c r="Q287" t="s">
        <v>24</v>
      </c>
    </row>
    <row r="288" spans="1:17" ht="15">
      <c r="A288" t="s">
        <v>17</v>
      </c>
      <c r="B288" s="1">
        <v>43180</v>
      </c>
      <c r="C288" t="s">
        <v>504</v>
      </c>
      <c r="D288" t="str">
        <f>CONCATENATE("0060002887","")</f>
        <v>0060002887</v>
      </c>
      <c r="E288" t="str">
        <f>CONCATENATE("0120226000350       ","")</f>
        <v>0120226000350       </v>
      </c>
      <c r="F288" t="str">
        <f>CONCATENATE("2128883","")</f>
        <v>2128883</v>
      </c>
      <c r="G288" t="s">
        <v>604</v>
      </c>
      <c r="H288" t="s">
        <v>610</v>
      </c>
      <c r="I288" t="s">
        <v>606</v>
      </c>
      <c r="J288" t="str">
        <f t="shared" si="33"/>
        <v>081202</v>
      </c>
      <c r="K288" t="s">
        <v>22</v>
      </c>
      <c r="L288" t="s">
        <v>23</v>
      </c>
      <c r="M288" t="str">
        <f aca="true" t="shared" si="34" ref="M288:M308">CONCATENATE("1","")</f>
        <v>1</v>
      </c>
      <c r="O288" t="str">
        <f t="shared" si="31"/>
        <v>1 </v>
      </c>
      <c r="P288">
        <v>30.05</v>
      </c>
      <c r="Q288" t="s">
        <v>27</v>
      </c>
    </row>
    <row r="289" spans="1:17" ht="15">
      <c r="A289" t="s">
        <v>17</v>
      </c>
      <c r="B289" s="1">
        <v>43180</v>
      </c>
      <c r="C289" t="s">
        <v>504</v>
      </c>
      <c r="D289" t="str">
        <f>CONCATENATE("0060002890","")</f>
        <v>0060002890</v>
      </c>
      <c r="E289" t="str">
        <f>CONCATENATE("0120226000380       ","")</f>
        <v>0120226000380       </v>
      </c>
      <c r="F289" t="str">
        <f>CONCATENATE("1661052","")</f>
        <v>1661052</v>
      </c>
      <c r="G289" t="s">
        <v>604</v>
      </c>
      <c r="H289" t="s">
        <v>611</v>
      </c>
      <c r="I289" t="s">
        <v>606</v>
      </c>
      <c r="J289" t="str">
        <f t="shared" si="33"/>
        <v>081202</v>
      </c>
      <c r="K289" t="s">
        <v>22</v>
      </c>
      <c r="L289" t="s">
        <v>23</v>
      </c>
      <c r="M289" t="str">
        <f t="shared" si="34"/>
        <v>1</v>
      </c>
      <c r="O289" t="str">
        <f t="shared" si="31"/>
        <v>1 </v>
      </c>
      <c r="P289">
        <v>28.15</v>
      </c>
      <c r="Q289" t="s">
        <v>27</v>
      </c>
    </row>
    <row r="290" spans="1:17" ht="15">
      <c r="A290" t="s">
        <v>17</v>
      </c>
      <c r="B290" s="1">
        <v>43180</v>
      </c>
      <c r="C290" t="s">
        <v>504</v>
      </c>
      <c r="D290" t="str">
        <f>CONCATENATE("0060020141","")</f>
        <v>0060020141</v>
      </c>
      <c r="E290" t="str">
        <f>CONCATENATE("0120226000425       ","")</f>
        <v>0120226000425       </v>
      </c>
      <c r="F290" t="str">
        <f>CONCATENATE("606853719","")</f>
        <v>606853719</v>
      </c>
      <c r="G290" t="s">
        <v>604</v>
      </c>
      <c r="H290" t="s">
        <v>612</v>
      </c>
      <c r="I290" t="s">
        <v>613</v>
      </c>
      <c r="J290" t="str">
        <f t="shared" si="33"/>
        <v>081202</v>
      </c>
      <c r="K290" t="s">
        <v>22</v>
      </c>
      <c r="L290" t="s">
        <v>23</v>
      </c>
      <c r="M290" t="str">
        <f t="shared" si="34"/>
        <v>1</v>
      </c>
      <c r="O290" t="str">
        <f t="shared" si="31"/>
        <v>1 </v>
      </c>
      <c r="P290">
        <v>49.5</v>
      </c>
      <c r="Q290" t="s">
        <v>27</v>
      </c>
    </row>
    <row r="291" spans="1:17" ht="15">
      <c r="A291" t="s">
        <v>17</v>
      </c>
      <c r="B291" s="1">
        <v>43180</v>
      </c>
      <c r="C291" t="s">
        <v>504</v>
      </c>
      <c r="D291" t="str">
        <f>CONCATENATE("0060019667","")</f>
        <v>0060019667</v>
      </c>
      <c r="E291" t="str">
        <f>CONCATENATE("0120226000450       ","")</f>
        <v>0120226000450       </v>
      </c>
      <c r="F291" t="str">
        <f>CONCATENATE("606748731","")</f>
        <v>606748731</v>
      </c>
      <c r="G291" t="s">
        <v>604</v>
      </c>
      <c r="H291" t="s">
        <v>614</v>
      </c>
      <c r="I291" t="s">
        <v>615</v>
      </c>
      <c r="J291" t="str">
        <f t="shared" si="33"/>
        <v>081202</v>
      </c>
      <c r="K291" t="s">
        <v>22</v>
      </c>
      <c r="L291" t="s">
        <v>23</v>
      </c>
      <c r="M291" t="str">
        <f t="shared" si="34"/>
        <v>1</v>
      </c>
      <c r="O291" t="str">
        <f t="shared" si="31"/>
        <v>1 </v>
      </c>
      <c r="P291">
        <v>16.3</v>
      </c>
      <c r="Q291" t="s">
        <v>27</v>
      </c>
    </row>
    <row r="292" spans="1:17" ht="15">
      <c r="A292" t="s">
        <v>17</v>
      </c>
      <c r="B292" s="1">
        <v>43180</v>
      </c>
      <c r="C292" t="s">
        <v>504</v>
      </c>
      <c r="D292" t="str">
        <f>CONCATENATE("0060013469","")</f>
        <v>0060013469</v>
      </c>
      <c r="E292" t="str">
        <f>CONCATENATE("0120226000515       ","")</f>
        <v>0120226000515       </v>
      </c>
      <c r="F292" t="str">
        <f>CONCATENATE("606809857","")</f>
        <v>606809857</v>
      </c>
      <c r="G292" t="s">
        <v>604</v>
      </c>
      <c r="H292" t="s">
        <v>616</v>
      </c>
      <c r="I292" t="s">
        <v>609</v>
      </c>
      <c r="J292" t="str">
        <f t="shared" si="33"/>
        <v>081202</v>
      </c>
      <c r="K292" t="s">
        <v>22</v>
      </c>
      <c r="L292" t="s">
        <v>23</v>
      </c>
      <c r="M292" t="str">
        <f t="shared" si="34"/>
        <v>1</v>
      </c>
      <c r="O292" t="str">
        <f t="shared" si="31"/>
        <v>1 </v>
      </c>
      <c r="P292">
        <v>24.85</v>
      </c>
      <c r="Q292" t="s">
        <v>27</v>
      </c>
    </row>
    <row r="293" spans="1:17" ht="15">
      <c r="A293" t="s">
        <v>17</v>
      </c>
      <c r="B293" s="1">
        <v>43180</v>
      </c>
      <c r="C293" t="s">
        <v>504</v>
      </c>
      <c r="D293" t="str">
        <f>CONCATENATE("0060002909","")</f>
        <v>0060002909</v>
      </c>
      <c r="E293" t="str">
        <f>CONCATENATE("0120226000580       ","")</f>
        <v>0120226000580       </v>
      </c>
      <c r="F293" t="str">
        <f>CONCATENATE("607541799","")</f>
        <v>607541799</v>
      </c>
      <c r="G293" t="s">
        <v>604</v>
      </c>
      <c r="H293" t="s">
        <v>617</v>
      </c>
      <c r="I293" t="s">
        <v>606</v>
      </c>
      <c r="J293" t="str">
        <f t="shared" si="33"/>
        <v>081202</v>
      </c>
      <c r="K293" t="s">
        <v>22</v>
      </c>
      <c r="L293" t="s">
        <v>23</v>
      </c>
      <c r="M293" t="str">
        <f t="shared" si="34"/>
        <v>1</v>
      </c>
      <c r="O293" t="str">
        <f t="shared" si="31"/>
        <v>1 </v>
      </c>
      <c r="P293">
        <v>82.85</v>
      </c>
      <c r="Q293" t="s">
        <v>27</v>
      </c>
    </row>
    <row r="294" spans="1:17" ht="15">
      <c r="A294" t="s">
        <v>17</v>
      </c>
      <c r="B294" s="1">
        <v>43180</v>
      </c>
      <c r="C294" t="s">
        <v>504</v>
      </c>
      <c r="D294" t="str">
        <f>CONCATENATE("0060002930","")</f>
        <v>0060002930</v>
      </c>
      <c r="E294" t="str">
        <f>CONCATENATE("0120226001160       ","")</f>
        <v>0120226001160       </v>
      </c>
      <c r="F294" t="str">
        <f>CONCATENATE("606665391","")</f>
        <v>606665391</v>
      </c>
      <c r="G294" t="s">
        <v>618</v>
      </c>
      <c r="H294" t="s">
        <v>619</v>
      </c>
      <c r="I294" t="s">
        <v>620</v>
      </c>
      <c r="J294" t="str">
        <f t="shared" si="33"/>
        <v>081202</v>
      </c>
      <c r="K294" t="s">
        <v>22</v>
      </c>
      <c r="L294" t="s">
        <v>23</v>
      </c>
      <c r="M294" t="str">
        <f t="shared" si="34"/>
        <v>1</v>
      </c>
      <c r="O294" t="str">
        <f t="shared" si="31"/>
        <v>1 </v>
      </c>
      <c r="P294">
        <v>14.8</v>
      </c>
      <c r="Q294" t="s">
        <v>27</v>
      </c>
    </row>
    <row r="295" spans="1:17" ht="15">
      <c r="A295" t="s">
        <v>17</v>
      </c>
      <c r="B295" s="1">
        <v>43180</v>
      </c>
      <c r="C295" t="s">
        <v>504</v>
      </c>
      <c r="D295" t="str">
        <f>CONCATENATE("0060002933","")</f>
        <v>0060002933</v>
      </c>
      <c r="E295" t="str">
        <f>CONCATENATE("0120226001185       ","")</f>
        <v>0120226001185       </v>
      </c>
      <c r="F295" t="str">
        <f>CONCATENATE("605629916","")</f>
        <v>605629916</v>
      </c>
      <c r="G295" t="s">
        <v>618</v>
      </c>
      <c r="H295" t="s">
        <v>621</v>
      </c>
      <c r="I295" t="s">
        <v>622</v>
      </c>
      <c r="J295" t="str">
        <f t="shared" si="33"/>
        <v>081202</v>
      </c>
      <c r="K295" t="s">
        <v>22</v>
      </c>
      <c r="L295" t="s">
        <v>23</v>
      </c>
      <c r="M295" t="str">
        <f t="shared" si="34"/>
        <v>1</v>
      </c>
      <c r="O295" t="str">
        <f t="shared" si="31"/>
        <v>1 </v>
      </c>
      <c r="P295">
        <v>11.4</v>
      </c>
      <c r="Q295" t="s">
        <v>27</v>
      </c>
    </row>
    <row r="296" spans="1:17" ht="15">
      <c r="A296" t="s">
        <v>17</v>
      </c>
      <c r="B296" s="1">
        <v>43180</v>
      </c>
      <c r="C296" t="s">
        <v>504</v>
      </c>
      <c r="D296" t="str">
        <f>CONCATENATE("0060019176","")</f>
        <v>0060019176</v>
      </c>
      <c r="E296" t="str">
        <f>CONCATENATE("0120226001256       ","")</f>
        <v>0120226001256       </v>
      </c>
      <c r="F296" t="str">
        <f>CONCATENATE("606591035","")</f>
        <v>606591035</v>
      </c>
      <c r="G296" t="s">
        <v>618</v>
      </c>
      <c r="H296" t="s">
        <v>623</v>
      </c>
      <c r="I296" t="s">
        <v>624</v>
      </c>
      <c r="J296" t="str">
        <f t="shared" si="33"/>
        <v>081202</v>
      </c>
      <c r="K296" t="s">
        <v>22</v>
      </c>
      <c r="L296" t="s">
        <v>23</v>
      </c>
      <c r="M296" t="str">
        <f t="shared" si="34"/>
        <v>1</v>
      </c>
      <c r="O296" t="str">
        <f t="shared" si="31"/>
        <v>1 </v>
      </c>
      <c r="P296">
        <v>18.9</v>
      </c>
      <c r="Q296" t="s">
        <v>27</v>
      </c>
    </row>
    <row r="297" spans="1:17" ht="15">
      <c r="A297" t="s">
        <v>17</v>
      </c>
      <c r="B297" s="1">
        <v>43180</v>
      </c>
      <c r="C297" t="s">
        <v>504</v>
      </c>
      <c r="D297" t="str">
        <f>CONCATENATE("0060002954","")</f>
        <v>0060002954</v>
      </c>
      <c r="E297" t="str">
        <f>CONCATENATE("0120226001400       ","")</f>
        <v>0120226001400       </v>
      </c>
      <c r="F297" t="str">
        <f>CONCATENATE("605354616","")</f>
        <v>605354616</v>
      </c>
      <c r="G297" t="s">
        <v>604</v>
      </c>
      <c r="H297" t="s">
        <v>625</v>
      </c>
      <c r="I297" t="s">
        <v>622</v>
      </c>
      <c r="J297" t="str">
        <f t="shared" si="33"/>
        <v>081202</v>
      </c>
      <c r="K297" t="s">
        <v>22</v>
      </c>
      <c r="L297" t="s">
        <v>23</v>
      </c>
      <c r="M297" t="str">
        <f t="shared" si="34"/>
        <v>1</v>
      </c>
      <c r="O297" t="str">
        <f t="shared" si="31"/>
        <v>1 </v>
      </c>
      <c r="P297">
        <v>11.85</v>
      </c>
      <c r="Q297" t="s">
        <v>27</v>
      </c>
    </row>
    <row r="298" spans="1:17" ht="15">
      <c r="A298" t="s">
        <v>17</v>
      </c>
      <c r="B298" s="1">
        <v>43180</v>
      </c>
      <c r="C298" t="s">
        <v>504</v>
      </c>
      <c r="D298" t="str">
        <f>CONCATENATE("0060002559","")</f>
        <v>0060002559</v>
      </c>
      <c r="E298" t="str">
        <f>CONCATENATE("0120226001805       ","")</f>
        <v>0120226001805       </v>
      </c>
      <c r="F298" t="str">
        <f>CONCATENATE("605772669","")</f>
        <v>605772669</v>
      </c>
      <c r="G298" t="s">
        <v>604</v>
      </c>
      <c r="H298" t="s">
        <v>626</v>
      </c>
      <c r="I298" t="s">
        <v>627</v>
      </c>
      <c r="J298" t="str">
        <f t="shared" si="33"/>
        <v>081202</v>
      </c>
      <c r="K298" t="s">
        <v>22</v>
      </c>
      <c r="L298" t="s">
        <v>23</v>
      </c>
      <c r="M298" t="str">
        <f t="shared" si="34"/>
        <v>1</v>
      </c>
      <c r="O298" t="str">
        <f t="shared" si="31"/>
        <v>1 </v>
      </c>
      <c r="P298">
        <v>26.75</v>
      </c>
      <c r="Q298" t="s">
        <v>27</v>
      </c>
    </row>
    <row r="299" spans="1:17" ht="15">
      <c r="A299" t="s">
        <v>17</v>
      </c>
      <c r="B299" s="1">
        <v>43180</v>
      </c>
      <c r="C299" t="s">
        <v>504</v>
      </c>
      <c r="D299" t="str">
        <f>CONCATENATE("0060002992","")</f>
        <v>0060002992</v>
      </c>
      <c r="E299" t="str">
        <f>CONCATENATE("0120226001820       ","")</f>
        <v>0120226001820       </v>
      </c>
      <c r="F299" t="str">
        <f>CONCATENATE("1801318","")</f>
        <v>1801318</v>
      </c>
      <c r="G299" t="s">
        <v>604</v>
      </c>
      <c r="H299" t="s">
        <v>628</v>
      </c>
      <c r="I299" t="s">
        <v>622</v>
      </c>
      <c r="J299" t="str">
        <f t="shared" si="33"/>
        <v>081202</v>
      </c>
      <c r="K299" t="s">
        <v>22</v>
      </c>
      <c r="L299" t="s">
        <v>23</v>
      </c>
      <c r="M299" t="str">
        <f t="shared" si="34"/>
        <v>1</v>
      </c>
      <c r="O299" t="str">
        <f t="shared" si="31"/>
        <v>1 </v>
      </c>
      <c r="P299">
        <v>16.5</v>
      </c>
      <c r="Q299" t="s">
        <v>27</v>
      </c>
    </row>
    <row r="300" spans="1:17" ht="15">
      <c r="A300" t="s">
        <v>17</v>
      </c>
      <c r="B300" s="1">
        <v>43180</v>
      </c>
      <c r="C300" t="s">
        <v>629</v>
      </c>
      <c r="D300" t="str">
        <f>CONCATENATE("0060017203","")</f>
        <v>0060017203</v>
      </c>
      <c r="E300" t="str">
        <f>CONCATENATE("0120227000090       ","")</f>
        <v>0120227000090       </v>
      </c>
      <c r="F300" t="str">
        <f>CONCATENATE("1235836","")</f>
        <v>1235836</v>
      </c>
      <c r="G300" t="s">
        <v>630</v>
      </c>
      <c r="H300" t="s">
        <v>631</v>
      </c>
      <c r="I300" t="s">
        <v>632</v>
      </c>
      <c r="J300" t="str">
        <f>CONCATENATE("080206","")</f>
        <v>080206</v>
      </c>
      <c r="K300" t="s">
        <v>22</v>
      </c>
      <c r="L300" t="s">
        <v>23</v>
      </c>
      <c r="M300" t="str">
        <f t="shared" si="34"/>
        <v>1</v>
      </c>
      <c r="O300" t="str">
        <f t="shared" si="31"/>
        <v>1 </v>
      </c>
      <c r="P300">
        <v>40.55</v>
      </c>
      <c r="Q300" t="s">
        <v>27</v>
      </c>
    </row>
    <row r="301" spans="1:17" ht="15">
      <c r="A301" t="s">
        <v>17</v>
      </c>
      <c r="B301" s="1">
        <v>43180</v>
      </c>
      <c r="C301" t="s">
        <v>504</v>
      </c>
      <c r="D301" t="str">
        <f>CONCATENATE("0060011670","")</f>
        <v>0060011670</v>
      </c>
      <c r="E301" t="str">
        <f>CONCATENATE("0120228000160       ","")</f>
        <v>0120228000160       </v>
      </c>
      <c r="F301" t="str">
        <f>CONCATENATE("606855133","")</f>
        <v>606855133</v>
      </c>
      <c r="G301" t="s">
        <v>633</v>
      </c>
      <c r="H301" t="s">
        <v>634</v>
      </c>
      <c r="I301" t="s">
        <v>635</v>
      </c>
      <c r="J301" t="str">
        <f>CONCATENATE("081202","")</f>
        <v>081202</v>
      </c>
      <c r="K301" t="s">
        <v>22</v>
      </c>
      <c r="L301" t="s">
        <v>23</v>
      </c>
      <c r="M301" t="str">
        <f t="shared" si="34"/>
        <v>1</v>
      </c>
      <c r="O301" t="str">
        <f t="shared" si="31"/>
        <v>1 </v>
      </c>
      <c r="P301">
        <v>14.9</v>
      </c>
      <c r="Q301" t="s">
        <v>27</v>
      </c>
    </row>
    <row r="302" spans="1:17" ht="15">
      <c r="A302" t="s">
        <v>17</v>
      </c>
      <c r="B302" s="1">
        <v>43180</v>
      </c>
      <c r="C302" t="s">
        <v>278</v>
      </c>
      <c r="D302" t="str">
        <f>CONCATENATE("0060016688","")</f>
        <v>0060016688</v>
      </c>
      <c r="E302" t="str">
        <f>CONCATENATE("0120229000080       ","")</f>
        <v>0120229000080       </v>
      </c>
      <c r="F302" t="str">
        <f>CONCATENATE("2004055","")</f>
        <v>2004055</v>
      </c>
      <c r="G302" t="s">
        <v>636</v>
      </c>
      <c r="H302" t="s">
        <v>637</v>
      </c>
      <c r="I302" t="s">
        <v>638</v>
      </c>
      <c r="J302" t="str">
        <f aca="true" t="shared" si="35" ref="J302:J308">CONCATENATE("081212","")</f>
        <v>081212</v>
      </c>
      <c r="K302" t="s">
        <v>22</v>
      </c>
      <c r="L302" t="s">
        <v>23</v>
      </c>
      <c r="M302" t="str">
        <f t="shared" si="34"/>
        <v>1</v>
      </c>
      <c r="O302" t="str">
        <f t="shared" si="31"/>
        <v>1 </v>
      </c>
      <c r="P302">
        <v>15.3</v>
      </c>
      <c r="Q302" t="s">
        <v>27</v>
      </c>
    </row>
    <row r="303" spans="1:17" ht="15">
      <c r="A303" t="s">
        <v>17</v>
      </c>
      <c r="B303" s="1">
        <v>43180</v>
      </c>
      <c r="C303" t="s">
        <v>278</v>
      </c>
      <c r="D303" t="str">
        <f>CONCATENATE("0060016693","")</f>
        <v>0060016693</v>
      </c>
      <c r="E303" t="str">
        <f>CONCATENATE("0120229000215       ","")</f>
        <v>0120229000215       </v>
      </c>
      <c r="F303" t="str">
        <f>CONCATENATE("2004041","")</f>
        <v>2004041</v>
      </c>
      <c r="G303" t="s">
        <v>636</v>
      </c>
      <c r="H303" t="s">
        <v>639</v>
      </c>
      <c r="I303" t="s">
        <v>638</v>
      </c>
      <c r="J303" t="str">
        <f t="shared" si="35"/>
        <v>081212</v>
      </c>
      <c r="K303" t="s">
        <v>22</v>
      </c>
      <c r="L303" t="s">
        <v>23</v>
      </c>
      <c r="M303" t="str">
        <f t="shared" si="34"/>
        <v>1</v>
      </c>
      <c r="O303" t="str">
        <f t="shared" si="31"/>
        <v>1 </v>
      </c>
      <c r="P303">
        <v>9.25</v>
      </c>
      <c r="Q303" t="s">
        <v>27</v>
      </c>
    </row>
    <row r="304" spans="1:17" ht="15">
      <c r="A304" t="s">
        <v>17</v>
      </c>
      <c r="B304" s="1">
        <v>43180</v>
      </c>
      <c r="C304" t="s">
        <v>640</v>
      </c>
      <c r="D304" t="str">
        <f>CONCATENATE("0060016696","")</f>
        <v>0060016696</v>
      </c>
      <c r="E304" t="str">
        <f>CONCATENATE("0120229000235       ","")</f>
        <v>0120229000235       </v>
      </c>
      <c r="F304" t="str">
        <f>CONCATENATE("2004042","")</f>
        <v>2004042</v>
      </c>
      <c r="G304" t="s">
        <v>636</v>
      </c>
      <c r="H304" t="s">
        <v>641</v>
      </c>
      <c r="I304" t="s">
        <v>638</v>
      </c>
      <c r="J304" t="str">
        <f t="shared" si="35"/>
        <v>081212</v>
      </c>
      <c r="K304" t="s">
        <v>22</v>
      </c>
      <c r="L304" t="s">
        <v>23</v>
      </c>
      <c r="M304" t="str">
        <f t="shared" si="34"/>
        <v>1</v>
      </c>
      <c r="O304" t="str">
        <f t="shared" si="31"/>
        <v>1 </v>
      </c>
      <c r="P304">
        <v>46.1</v>
      </c>
      <c r="Q304" t="s">
        <v>27</v>
      </c>
    </row>
    <row r="305" spans="1:17" ht="15">
      <c r="A305" t="s">
        <v>17</v>
      </c>
      <c r="B305" s="1">
        <v>43180</v>
      </c>
      <c r="C305" t="s">
        <v>640</v>
      </c>
      <c r="D305" t="str">
        <f>CONCATENATE("0060016700","")</f>
        <v>0060016700</v>
      </c>
      <c r="E305" t="str">
        <f>CONCATENATE("0120229000250       ","")</f>
        <v>0120229000250       </v>
      </c>
      <c r="F305" t="str">
        <f>CONCATENATE("2004038","")</f>
        <v>2004038</v>
      </c>
      <c r="G305" t="s">
        <v>636</v>
      </c>
      <c r="H305" t="s">
        <v>642</v>
      </c>
      <c r="I305" t="s">
        <v>638</v>
      </c>
      <c r="J305" t="str">
        <f t="shared" si="35"/>
        <v>081212</v>
      </c>
      <c r="K305" t="s">
        <v>22</v>
      </c>
      <c r="L305" t="s">
        <v>23</v>
      </c>
      <c r="M305" t="str">
        <f t="shared" si="34"/>
        <v>1</v>
      </c>
      <c r="O305" t="str">
        <f t="shared" si="31"/>
        <v>1 </v>
      </c>
      <c r="P305">
        <v>15.6</v>
      </c>
      <c r="Q305" t="s">
        <v>27</v>
      </c>
    </row>
    <row r="306" spans="1:17" ht="15">
      <c r="A306" t="s">
        <v>17</v>
      </c>
      <c r="B306" s="1">
        <v>43180</v>
      </c>
      <c r="C306" t="s">
        <v>640</v>
      </c>
      <c r="D306" t="str">
        <f>CONCATENATE("0060016718","")</f>
        <v>0060016718</v>
      </c>
      <c r="E306" t="str">
        <f>CONCATENATE("0120229000440       ","")</f>
        <v>0120229000440       </v>
      </c>
      <c r="F306" t="str">
        <f>CONCATENATE("2004001","")</f>
        <v>2004001</v>
      </c>
      <c r="G306" t="s">
        <v>636</v>
      </c>
      <c r="H306" t="s">
        <v>643</v>
      </c>
      <c r="I306" t="s">
        <v>638</v>
      </c>
      <c r="J306" t="str">
        <f t="shared" si="35"/>
        <v>081212</v>
      </c>
      <c r="K306" t="s">
        <v>22</v>
      </c>
      <c r="L306" t="s">
        <v>23</v>
      </c>
      <c r="M306" t="str">
        <f t="shared" si="34"/>
        <v>1</v>
      </c>
      <c r="O306" t="str">
        <f t="shared" si="31"/>
        <v>1 </v>
      </c>
      <c r="P306">
        <v>9.65</v>
      </c>
      <c r="Q306" t="s">
        <v>27</v>
      </c>
    </row>
    <row r="307" spans="1:17" ht="15">
      <c r="A307" t="s">
        <v>17</v>
      </c>
      <c r="B307" s="1">
        <v>43180</v>
      </c>
      <c r="C307" t="s">
        <v>278</v>
      </c>
      <c r="D307" t="str">
        <f>CONCATENATE("0060016731","")</f>
        <v>0060016731</v>
      </c>
      <c r="E307" t="str">
        <f>CONCATENATE("0120229000710       ","")</f>
        <v>0120229000710       </v>
      </c>
      <c r="F307" t="str">
        <f>CONCATENATE("2001242","")</f>
        <v>2001242</v>
      </c>
      <c r="G307" t="s">
        <v>636</v>
      </c>
      <c r="H307" t="s">
        <v>644</v>
      </c>
      <c r="I307" t="s">
        <v>638</v>
      </c>
      <c r="J307" t="str">
        <f t="shared" si="35"/>
        <v>081212</v>
      </c>
      <c r="K307" t="s">
        <v>22</v>
      </c>
      <c r="L307" t="s">
        <v>23</v>
      </c>
      <c r="M307" t="str">
        <f t="shared" si="34"/>
        <v>1</v>
      </c>
      <c r="O307" t="str">
        <f t="shared" si="31"/>
        <v>1 </v>
      </c>
      <c r="P307">
        <v>10.3</v>
      </c>
      <c r="Q307" t="s">
        <v>27</v>
      </c>
    </row>
    <row r="308" spans="1:17" ht="15">
      <c r="A308" t="s">
        <v>17</v>
      </c>
      <c r="B308" s="1">
        <v>43180</v>
      </c>
      <c r="C308" t="s">
        <v>278</v>
      </c>
      <c r="D308" t="str">
        <f>CONCATENATE("0060016733","")</f>
        <v>0060016733</v>
      </c>
      <c r="E308" t="str">
        <f>CONCATENATE("0120229000740       ","")</f>
        <v>0120229000740       </v>
      </c>
      <c r="F308" t="str">
        <f>CONCATENATE("2003994","")</f>
        <v>2003994</v>
      </c>
      <c r="G308" t="s">
        <v>636</v>
      </c>
      <c r="H308" t="s">
        <v>645</v>
      </c>
      <c r="I308" t="s">
        <v>638</v>
      </c>
      <c r="J308" t="str">
        <f t="shared" si="35"/>
        <v>081212</v>
      </c>
      <c r="K308" t="s">
        <v>22</v>
      </c>
      <c r="L308" t="s">
        <v>23</v>
      </c>
      <c r="M308" t="str">
        <f t="shared" si="34"/>
        <v>1</v>
      </c>
      <c r="O308" t="str">
        <f t="shared" si="31"/>
        <v>1 </v>
      </c>
      <c r="P308">
        <v>13.05</v>
      </c>
      <c r="Q308" t="s">
        <v>27</v>
      </c>
    </row>
    <row r="309" spans="1:17" ht="15">
      <c r="A309" t="s">
        <v>17</v>
      </c>
      <c r="B309" s="1">
        <v>43180</v>
      </c>
      <c r="C309" t="s">
        <v>504</v>
      </c>
      <c r="D309" t="str">
        <f>CONCATENATE("0060010286","")</f>
        <v>0060010286</v>
      </c>
      <c r="E309" t="str">
        <f>CONCATENATE("0120230000065       ","")</f>
        <v>0120230000065       </v>
      </c>
      <c r="F309" t="str">
        <f>CONCATENATE("507030373","")</f>
        <v>507030373</v>
      </c>
      <c r="G309" t="s">
        <v>646</v>
      </c>
      <c r="H309" t="s">
        <v>647</v>
      </c>
      <c r="I309" t="s">
        <v>648</v>
      </c>
      <c r="J309" t="str">
        <f>CONCATENATE("081202","")</f>
        <v>081202</v>
      </c>
      <c r="K309" t="s">
        <v>22</v>
      </c>
      <c r="L309" t="s">
        <v>23</v>
      </c>
      <c r="M309" t="str">
        <f>CONCATENATE("3","")</f>
        <v>3</v>
      </c>
      <c r="O309" t="str">
        <f t="shared" si="31"/>
        <v>1 </v>
      </c>
      <c r="P309">
        <v>13.55</v>
      </c>
      <c r="Q309" t="s">
        <v>24</v>
      </c>
    </row>
    <row r="310" spans="1:17" ht="15">
      <c r="A310" t="s">
        <v>17</v>
      </c>
      <c r="B310" s="1">
        <v>43180</v>
      </c>
      <c r="C310" t="s">
        <v>504</v>
      </c>
      <c r="D310" t="str">
        <f>CONCATENATE("0060020056","")</f>
        <v>0060020056</v>
      </c>
      <c r="E310" t="str">
        <f>CONCATENATE("0120230000270       ","")</f>
        <v>0120230000270       </v>
      </c>
      <c r="F310" t="str">
        <f>CONCATENATE("606757387","")</f>
        <v>606757387</v>
      </c>
      <c r="G310" t="s">
        <v>646</v>
      </c>
      <c r="H310" t="s">
        <v>649</v>
      </c>
      <c r="I310" t="s">
        <v>650</v>
      </c>
      <c r="J310" t="str">
        <f>CONCATENATE("081202","")</f>
        <v>081202</v>
      </c>
      <c r="K310" t="s">
        <v>22</v>
      </c>
      <c r="L310" t="s">
        <v>23</v>
      </c>
      <c r="M310" t="str">
        <f aca="true" t="shared" si="36" ref="M310:M346">CONCATENATE("1","")</f>
        <v>1</v>
      </c>
      <c r="O310" t="str">
        <f t="shared" si="31"/>
        <v>1 </v>
      </c>
      <c r="P310">
        <v>11.85</v>
      </c>
      <c r="Q310" t="s">
        <v>27</v>
      </c>
    </row>
    <row r="311" spans="1:17" ht="15">
      <c r="A311" t="s">
        <v>17</v>
      </c>
      <c r="B311" s="1">
        <v>43180</v>
      </c>
      <c r="C311" t="s">
        <v>651</v>
      </c>
      <c r="D311" t="str">
        <f>CONCATENATE("0060017978","")</f>
        <v>0060017978</v>
      </c>
      <c r="E311" t="str">
        <f>CONCATENATE("0120231000020       ","")</f>
        <v>0120231000020       </v>
      </c>
      <c r="F311" t="str">
        <f>CONCATENATE("0606095600","")</f>
        <v>0606095600</v>
      </c>
      <c r="G311" t="s">
        <v>652</v>
      </c>
      <c r="H311" t="s">
        <v>653</v>
      </c>
      <c r="I311" t="s">
        <v>654</v>
      </c>
      <c r="J311" t="str">
        <f aca="true" t="shared" si="37" ref="J311:J325">CONCATENATE("081207","")</f>
        <v>081207</v>
      </c>
      <c r="K311" t="s">
        <v>22</v>
      </c>
      <c r="L311" t="s">
        <v>23</v>
      </c>
      <c r="M311" t="str">
        <f t="shared" si="36"/>
        <v>1</v>
      </c>
      <c r="O311" t="str">
        <f t="shared" si="31"/>
        <v>1 </v>
      </c>
      <c r="P311">
        <v>22.45</v>
      </c>
      <c r="Q311" t="s">
        <v>27</v>
      </c>
    </row>
    <row r="312" spans="1:17" ht="15">
      <c r="A312" t="s">
        <v>17</v>
      </c>
      <c r="B312" s="1">
        <v>43180</v>
      </c>
      <c r="C312" t="s">
        <v>651</v>
      </c>
      <c r="D312" t="str">
        <f>CONCATENATE("0060017983","")</f>
        <v>0060017983</v>
      </c>
      <c r="E312" t="str">
        <f>CONCATENATE("0120231000070       ","")</f>
        <v>0120231000070       </v>
      </c>
      <c r="F312" t="str">
        <f>CONCATENATE("0606144200","")</f>
        <v>0606144200</v>
      </c>
      <c r="G312" t="s">
        <v>652</v>
      </c>
      <c r="H312" t="s">
        <v>655</v>
      </c>
      <c r="I312" t="s">
        <v>654</v>
      </c>
      <c r="J312" t="str">
        <f t="shared" si="37"/>
        <v>081207</v>
      </c>
      <c r="K312" t="s">
        <v>22</v>
      </c>
      <c r="L312" t="s">
        <v>23</v>
      </c>
      <c r="M312" t="str">
        <f t="shared" si="36"/>
        <v>1</v>
      </c>
      <c r="O312" t="str">
        <f t="shared" si="31"/>
        <v>1 </v>
      </c>
      <c r="P312">
        <v>8.25</v>
      </c>
      <c r="Q312" t="s">
        <v>27</v>
      </c>
    </row>
    <row r="313" spans="1:17" ht="15">
      <c r="A313" t="s">
        <v>17</v>
      </c>
      <c r="B313" s="1">
        <v>43180</v>
      </c>
      <c r="C313" t="s">
        <v>651</v>
      </c>
      <c r="D313" t="str">
        <f>CONCATENATE("0060018219","")</f>
        <v>0060018219</v>
      </c>
      <c r="E313" t="str">
        <f>CONCATENATE("0120231000340       ","")</f>
        <v>0120231000340       </v>
      </c>
      <c r="F313" t="str">
        <f>CONCATENATE("0606144191","")</f>
        <v>0606144191</v>
      </c>
      <c r="G313" t="s">
        <v>652</v>
      </c>
      <c r="H313" t="s">
        <v>656</v>
      </c>
      <c r="I313" t="s">
        <v>657</v>
      </c>
      <c r="J313" t="str">
        <f t="shared" si="37"/>
        <v>081207</v>
      </c>
      <c r="K313" t="s">
        <v>22</v>
      </c>
      <c r="L313" t="s">
        <v>23</v>
      </c>
      <c r="M313" t="str">
        <f t="shared" si="36"/>
        <v>1</v>
      </c>
      <c r="O313" t="str">
        <f t="shared" si="31"/>
        <v>1 </v>
      </c>
      <c r="P313">
        <v>16.25</v>
      </c>
      <c r="Q313" t="s">
        <v>27</v>
      </c>
    </row>
    <row r="314" spans="1:17" ht="15">
      <c r="A314" t="s">
        <v>17</v>
      </c>
      <c r="B314" s="1">
        <v>43180</v>
      </c>
      <c r="C314" t="s">
        <v>651</v>
      </c>
      <c r="D314" t="str">
        <f>CONCATENATE("0060018057","")</f>
        <v>0060018057</v>
      </c>
      <c r="E314" t="str">
        <f>CONCATENATE("0120232000010       ","")</f>
        <v>0120232000010       </v>
      </c>
      <c r="F314" t="str">
        <f>CONCATENATE("0606144459","")</f>
        <v>0606144459</v>
      </c>
      <c r="G314" t="s">
        <v>658</v>
      </c>
      <c r="H314" t="s">
        <v>659</v>
      </c>
      <c r="I314" t="s">
        <v>660</v>
      </c>
      <c r="J314" t="str">
        <f t="shared" si="37"/>
        <v>081207</v>
      </c>
      <c r="K314" t="s">
        <v>22</v>
      </c>
      <c r="L314" t="s">
        <v>23</v>
      </c>
      <c r="M314" t="str">
        <f t="shared" si="36"/>
        <v>1</v>
      </c>
      <c r="O314" t="str">
        <f t="shared" si="31"/>
        <v>1 </v>
      </c>
      <c r="P314">
        <v>10.1</v>
      </c>
      <c r="Q314" t="s">
        <v>27</v>
      </c>
    </row>
    <row r="315" spans="1:17" ht="15">
      <c r="A315" t="s">
        <v>17</v>
      </c>
      <c r="B315" s="1">
        <v>43180</v>
      </c>
      <c r="C315" t="s">
        <v>651</v>
      </c>
      <c r="D315" t="str">
        <f>CONCATENATE("0060018058","")</f>
        <v>0060018058</v>
      </c>
      <c r="E315" t="str">
        <f>CONCATENATE("0120232000020       ","")</f>
        <v>0120232000020       </v>
      </c>
      <c r="F315" t="str">
        <f>CONCATENATE("0606143944","")</f>
        <v>0606143944</v>
      </c>
      <c r="G315" t="s">
        <v>658</v>
      </c>
      <c r="H315" t="s">
        <v>661</v>
      </c>
      <c r="I315" t="s">
        <v>660</v>
      </c>
      <c r="J315" t="str">
        <f t="shared" si="37"/>
        <v>081207</v>
      </c>
      <c r="K315" t="s">
        <v>22</v>
      </c>
      <c r="L315" t="s">
        <v>23</v>
      </c>
      <c r="M315" t="str">
        <f t="shared" si="36"/>
        <v>1</v>
      </c>
      <c r="O315" t="str">
        <f t="shared" si="31"/>
        <v>1 </v>
      </c>
      <c r="P315">
        <v>9.4</v>
      </c>
      <c r="Q315" t="s">
        <v>27</v>
      </c>
    </row>
    <row r="316" spans="1:17" ht="15">
      <c r="A316" t="s">
        <v>17</v>
      </c>
      <c r="B316" s="1">
        <v>43180</v>
      </c>
      <c r="C316" t="s">
        <v>651</v>
      </c>
      <c r="D316" t="str">
        <f>CONCATENATE("0060018075","")</f>
        <v>0060018075</v>
      </c>
      <c r="E316" t="str">
        <f>CONCATENATE("0120233000100       ","")</f>
        <v>0120233000100       </v>
      </c>
      <c r="F316" t="str">
        <f>CONCATENATE("0606143744","")</f>
        <v>0606143744</v>
      </c>
      <c r="G316" t="s">
        <v>662</v>
      </c>
      <c r="H316" t="s">
        <v>663</v>
      </c>
      <c r="I316" t="s">
        <v>664</v>
      </c>
      <c r="J316" t="str">
        <f t="shared" si="37"/>
        <v>081207</v>
      </c>
      <c r="K316" t="s">
        <v>22</v>
      </c>
      <c r="L316" t="s">
        <v>23</v>
      </c>
      <c r="M316" t="str">
        <f t="shared" si="36"/>
        <v>1</v>
      </c>
      <c r="O316" t="str">
        <f t="shared" si="31"/>
        <v>1 </v>
      </c>
      <c r="P316">
        <v>14.6</v>
      </c>
      <c r="Q316" t="s">
        <v>27</v>
      </c>
    </row>
    <row r="317" spans="1:17" ht="15">
      <c r="A317" t="s">
        <v>17</v>
      </c>
      <c r="B317" s="1">
        <v>43180</v>
      </c>
      <c r="C317" t="s">
        <v>651</v>
      </c>
      <c r="D317" t="str">
        <f>CONCATENATE("0060018011","")</f>
        <v>0060018011</v>
      </c>
      <c r="E317" t="str">
        <f>CONCATENATE("0120234000090       ","")</f>
        <v>0120234000090       </v>
      </c>
      <c r="F317" t="str">
        <f>CONCATENATE("0606143950","")</f>
        <v>0606143950</v>
      </c>
      <c r="G317" t="s">
        <v>665</v>
      </c>
      <c r="H317" t="s">
        <v>666</v>
      </c>
      <c r="I317" t="s">
        <v>667</v>
      </c>
      <c r="J317" t="str">
        <f t="shared" si="37"/>
        <v>081207</v>
      </c>
      <c r="K317" t="s">
        <v>22</v>
      </c>
      <c r="L317" t="s">
        <v>23</v>
      </c>
      <c r="M317" t="str">
        <f t="shared" si="36"/>
        <v>1</v>
      </c>
      <c r="O317" t="str">
        <f t="shared" si="31"/>
        <v>1 </v>
      </c>
      <c r="P317">
        <v>13.4</v>
      </c>
      <c r="Q317" t="s">
        <v>27</v>
      </c>
    </row>
    <row r="318" spans="1:17" ht="15">
      <c r="A318" t="s">
        <v>17</v>
      </c>
      <c r="B318" s="1">
        <v>43180</v>
      </c>
      <c r="C318" t="s">
        <v>651</v>
      </c>
      <c r="D318" t="str">
        <f>CONCATENATE("0060017967","")</f>
        <v>0060017967</v>
      </c>
      <c r="E318" t="str">
        <f>CONCATENATE("0120235000050       ","")</f>
        <v>0120235000050       </v>
      </c>
      <c r="F318" t="str">
        <f>CONCATENATE("0606094784","")</f>
        <v>0606094784</v>
      </c>
      <c r="G318" t="s">
        <v>668</v>
      </c>
      <c r="H318" t="s">
        <v>669</v>
      </c>
      <c r="I318" t="s">
        <v>670</v>
      </c>
      <c r="J318" t="str">
        <f t="shared" si="37"/>
        <v>081207</v>
      </c>
      <c r="K318" t="s">
        <v>22</v>
      </c>
      <c r="L318" t="s">
        <v>23</v>
      </c>
      <c r="M318" t="str">
        <f t="shared" si="36"/>
        <v>1</v>
      </c>
      <c r="O318" t="str">
        <f t="shared" si="31"/>
        <v>1 </v>
      </c>
      <c r="P318">
        <v>17.85</v>
      </c>
      <c r="Q318" t="s">
        <v>27</v>
      </c>
    </row>
    <row r="319" spans="1:17" ht="15">
      <c r="A319" t="s">
        <v>17</v>
      </c>
      <c r="B319" s="1">
        <v>43180</v>
      </c>
      <c r="C319" t="s">
        <v>651</v>
      </c>
      <c r="D319" t="str">
        <f>CONCATENATE("0060017951","")</f>
        <v>0060017951</v>
      </c>
      <c r="E319" t="str">
        <f>CONCATENATE("0120236000100       ","")</f>
        <v>0120236000100       </v>
      </c>
      <c r="F319" t="str">
        <f>CONCATENATE("0606143760","")</f>
        <v>0606143760</v>
      </c>
      <c r="G319" t="s">
        <v>671</v>
      </c>
      <c r="H319" t="s">
        <v>672</v>
      </c>
      <c r="I319" t="s">
        <v>673</v>
      </c>
      <c r="J319" t="str">
        <f t="shared" si="37"/>
        <v>081207</v>
      </c>
      <c r="K319" t="s">
        <v>22</v>
      </c>
      <c r="L319" t="s">
        <v>23</v>
      </c>
      <c r="M319" t="str">
        <f t="shared" si="36"/>
        <v>1</v>
      </c>
      <c r="O319" t="str">
        <f t="shared" si="31"/>
        <v>1 </v>
      </c>
      <c r="P319">
        <v>24.45</v>
      </c>
      <c r="Q319" t="s">
        <v>27</v>
      </c>
    </row>
    <row r="320" spans="1:17" ht="15">
      <c r="A320" t="s">
        <v>17</v>
      </c>
      <c r="B320" s="1">
        <v>43180</v>
      </c>
      <c r="C320" t="s">
        <v>651</v>
      </c>
      <c r="D320" t="str">
        <f>CONCATENATE("0060018210","")</f>
        <v>0060018210</v>
      </c>
      <c r="E320" t="str">
        <f>CONCATENATE("0120236000280       ","")</f>
        <v>0120236000280       </v>
      </c>
      <c r="F320" t="str">
        <f>CONCATENATE("1606144759","")</f>
        <v>1606144759</v>
      </c>
      <c r="G320" t="s">
        <v>671</v>
      </c>
      <c r="H320" t="s">
        <v>674</v>
      </c>
      <c r="I320" t="s">
        <v>673</v>
      </c>
      <c r="J320" t="str">
        <f t="shared" si="37"/>
        <v>081207</v>
      </c>
      <c r="K320" t="s">
        <v>22</v>
      </c>
      <c r="L320" t="s">
        <v>23</v>
      </c>
      <c r="M320" t="str">
        <f t="shared" si="36"/>
        <v>1</v>
      </c>
      <c r="O320" t="str">
        <f t="shared" si="31"/>
        <v>1 </v>
      </c>
      <c r="P320">
        <v>14.25</v>
      </c>
      <c r="Q320" t="s">
        <v>27</v>
      </c>
    </row>
    <row r="321" spans="1:17" ht="15">
      <c r="A321" t="s">
        <v>17</v>
      </c>
      <c r="B321" s="1">
        <v>43180</v>
      </c>
      <c r="C321" t="s">
        <v>651</v>
      </c>
      <c r="D321" t="str">
        <f>CONCATENATE("0060018030","")</f>
        <v>0060018030</v>
      </c>
      <c r="E321" t="str">
        <f>CONCATENATE("0120238000030       ","")</f>
        <v>0120238000030       </v>
      </c>
      <c r="F321" t="str">
        <f>CONCATENATE("0606143771","")</f>
        <v>0606143771</v>
      </c>
      <c r="G321" t="s">
        <v>675</v>
      </c>
      <c r="H321" t="s">
        <v>676</v>
      </c>
      <c r="I321" t="s">
        <v>677</v>
      </c>
      <c r="J321" t="str">
        <f t="shared" si="37"/>
        <v>081207</v>
      </c>
      <c r="K321" t="s">
        <v>22</v>
      </c>
      <c r="L321" t="s">
        <v>23</v>
      </c>
      <c r="M321" t="str">
        <f t="shared" si="36"/>
        <v>1</v>
      </c>
      <c r="O321" t="str">
        <f t="shared" si="31"/>
        <v>1 </v>
      </c>
      <c r="P321">
        <v>12.65</v>
      </c>
      <c r="Q321" t="s">
        <v>27</v>
      </c>
    </row>
    <row r="322" spans="1:17" ht="15">
      <c r="A322" t="s">
        <v>17</v>
      </c>
      <c r="B322" s="1">
        <v>43180</v>
      </c>
      <c r="C322" t="s">
        <v>651</v>
      </c>
      <c r="D322" t="str">
        <f>CONCATENATE("0060018043","")</f>
        <v>0060018043</v>
      </c>
      <c r="E322" t="str">
        <f>CONCATENATE("0120238000160       ","")</f>
        <v>0120238000160       </v>
      </c>
      <c r="F322" t="str">
        <f>CONCATENATE("0606143788","")</f>
        <v>0606143788</v>
      </c>
      <c r="G322" t="s">
        <v>675</v>
      </c>
      <c r="H322" t="s">
        <v>678</v>
      </c>
      <c r="I322" t="s">
        <v>677</v>
      </c>
      <c r="J322" t="str">
        <f t="shared" si="37"/>
        <v>081207</v>
      </c>
      <c r="K322" t="s">
        <v>22</v>
      </c>
      <c r="L322" t="s">
        <v>23</v>
      </c>
      <c r="M322" t="str">
        <f t="shared" si="36"/>
        <v>1</v>
      </c>
      <c r="O322" t="str">
        <f aca="true" t="shared" si="38" ref="O322:O385">CONCATENATE("1 ","")</f>
        <v>1 </v>
      </c>
      <c r="P322">
        <v>7.8</v>
      </c>
      <c r="Q322" t="s">
        <v>27</v>
      </c>
    </row>
    <row r="323" spans="1:17" ht="15">
      <c r="A323" t="s">
        <v>17</v>
      </c>
      <c r="B323" s="1">
        <v>43180</v>
      </c>
      <c r="C323" t="s">
        <v>651</v>
      </c>
      <c r="D323" t="str">
        <f>CONCATENATE("0060018221","")</f>
        <v>0060018221</v>
      </c>
      <c r="E323" t="str">
        <f>CONCATENATE("0120238000210       ","")</f>
        <v>0120238000210       </v>
      </c>
      <c r="F323" t="str">
        <f>CONCATENATE("0606095330","")</f>
        <v>0606095330</v>
      </c>
      <c r="G323" t="s">
        <v>675</v>
      </c>
      <c r="H323" t="s">
        <v>679</v>
      </c>
      <c r="I323" t="s">
        <v>677</v>
      </c>
      <c r="J323" t="str">
        <f t="shared" si="37"/>
        <v>081207</v>
      </c>
      <c r="K323" t="s">
        <v>22</v>
      </c>
      <c r="L323" t="s">
        <v>23</v>
      </c>
      <c r="M323" t="str">
        <f t="shared" si="36"/>
        <v>1</v>
      </c>
      <c r="O323" t="str">
        <f t="shared" si="38"/>
        <v>1 </v>
      </c>
      <c r="P323">
        <v>14.05</v>
      </c>
      <c r="Q323" t="s">
        <v>27</v>
      </c>
    </row>
    <row r="324" spans="1:17" ht="15">
      <c r="A324" t="s">
        <v>17</v>
      </c>
      <c r="B324" s="1">
        <v>43180</v>
      </c>
      <c r="C324" t="s">
        <v>651</v>
      </c>
      <c r="D324" t="str">
        <f>CONCATENATE("0060018051","")</f>
        <v>0060018051</v>
      </c>
      <c r="E324" t="str">
        <f>CONCATENATE("0120239000050       ","")</f>
        <v>0120239000050       </v>
      </c>
      <c r="F324" t="str">
        <f>CONCATENATE("1606095340","")</f>
        <v>1606095340</v>
      </c>
      <c r="G324" t="s">
        <v>680</v>
      </c>
      <c r="H324" t="s">
        <v>681</v>
      </c>
      <c r="I324" t="s">
        <v>682</v>
      </c>
      <c r="J324" t="str">
        <f t="shared" si="37"/>
        <v>081207</v>
      </c>
      <c r="K324" t="s">
        <v>22</v>
      </c>
      <c r="L324" t="s">
        <v>23</v>
      </c>
      <c r="M324" t="str">
        <f t="shared" si="36"/>
        <v>1</v>
      </c>
      <c r="O324" t="str">
        <f t="shared" si="38"/>
        <v>1 </v>
      </c>
      <c r="P324">
        <v>10.1</v>
      </c>
      <c r="Q324" t="s">
        <v>27</v>
      </c>
    </row>
    <row r="325" spans="1:17" ht="15">
      <c r="A325" t="s">
        <v>17</v>
      </c>
      <c r="B325" s="1">
        <v>43180</v>
      </c>
      <c r="C325" t="s">
        <v>651</v>
      </c>
      <c r="D325" t="str">
        <f>CONCATENATE("0060018055","")</f>
        <v>0060018055</v>
      </c>
      <c r="E325" t="str">
        <f>CONCATENATE("0120239000090       ","")</f>
        <v>0120239000090       </v>
      </c>
      <c r="F325" t="str">
        <f>CONCATENATE("0606095338","")</f>
        <v>0606095338</v>
      </c>
      <c r="G325" t="s">
        <v>680</v>
      </c>
      <c r="H325" t="s">
        <v>683</v>
      </c>
      <c r="I325" t="s">
        <v>682</v>
      </c>
      <c r="J325" t="str">
        <f t="shared" si="37"/>
        <v>081207</v>
      </c>
      <c r="K325" t="s">
        <v>22</v>
      </c>
      <c r="L325" t="s">
        <v>23</v>
      </c>
      <c r="M325" t="str">
        <f t="shared" si="36"/>
        <v>1</v>
      </c>
      <c r="O325" t="str">
        <f t="shared" si="38"/>
        <v>1 </v>
      </c>
      <c r="P325">
        <v>7.05</v>
      </c>
      <c r="Q325" t="s">
        <v>27</v>
      </c>
    </row>
    <row r="326" spans="1:17" ht="15">
      <c r="A326" t="s">
        <v>17</v>
      </c>
      <c r="B326" s="1">
        <v>43180</v>
      </c>
      <c r="C326" t="s">
        <v>246</v>
      </c>
      <c r="D326" t="str">
        <f>CONCATENATE("0060011623","")</f>
        <v>0060011623</v>
      </c>
      <c r="E326" t="str">
        <f>CONCATENATE("0120240000180       ","")</f>
        <v>0120240000180       </v>
      </c>
      <c r="F326" t="str">
        <f>CONCATENATE("606854238","")</f>
        <v>606854238</v>
      </c>
      <c r="G326" t="s">
        <v>684</v>
      </c>
      <c r="H326" t="s">
        <v>685</v>
      </c>
      <c r="I326" t="s">
        <v>686</v>
      </c>
      <c r="J326" t="str">
        <f>CONCATENATE("081102","")</f>
        <v>081102</v>
      </c>
      <c r="K326" t="s">
        <v>22</v>
      </c>
      <c r="L326" t="s">
        <v>23</v>
      </c>
      <c r="M326" t="str">
        <f t="shared" si="36"/>
        <v>1</v>
      </c>
      <c r="O326" t="str">
        <f t="shared" si="38"/>
        <v>1 </v>
      </c>
      <c r="P326">
        <v>11.05</v>
      </c>
      <c r="Q326" t="s">
        <v>27</v>
      </c>
    </row>
    <row r="327" spans="1:17" ht="15">
      <c r="A327" t="s">
        <v>17</v>
      </c>
      <c r="B327" s="1">
        <v>43180</v>
      </c>
      <c r="C327" t="s">
        <v>246</v>
      </c>
      <c r="D327" t="str">
        <f>CONCATENATE("0060011617","")</f>
        <v>0060011617</v>
      </c>
      <c r="E327" t="str">
        <f>CONCATENATE("0120240000490       ","")</f>
        <v>0120240000490       </v>
      </c>
      <c r="F327" t="str">
        <f>CONCATENATE("606854225","")</f>
        <v>606854225</v>
      </c>
      <c r="G327" t="s">
        <v>684</v>
      </c>
      <c r="H327" t="s">
        <v>687</v>
      </c>
      <c r="I327" t="s">
        <v>686</v>
      </c>
      <c r="J327" t="str">
        <f>CONCATENATE("081102","")</f>
        <v>081102</v>
      </c>
      <c r="K327" t="s">
        <v>22</v>
      </c>
      <c r="L327" t="s">
        <v>23</v>
      </c>
      <c r="M327" t="str">
        <f t="shared" si="36"/>
        <v>1</v>
      </c>
      <c r="O327" t="str">
        <f t="shared" si="38"/>
        <v>1 </v>
      </c>
      <c r="P327">
        <v>10.9</v>
      </c>
      <c r="Q327" t="s">
        <v>27</v>
      </c>
    </row>
    <row r="328" spans="1:17" ht="15">
      <c r="A328" t="s">
        <v>17</v>
      </c>
      <c r="B328" s="1">
        <v>43180</v>
      </c>
      <c r="C328" t="s">
        <v>651</v>
      </c>
      <c r="D328" t="str">
        <f>CONCATENATE("0060010619","")</f>
        <v>0060010619</v>
      </c>
      <c r="E328" t="str">
        <f>CONCATENATE("0120701000015       ","")</f>
        <v>0120701000015       </v>
      </c>
      <c r="F328" t="str">
        <f>CONCATENATE("1937627","")</f>
        <v>1937627</v>
      </c>
      <c r="G328" t="s">
        <v>688</v>
      </c>
      <c r="H328" t="s">
        <v>689</v>
      </c>
      <c r="I328" t="s">
        <v>690</v>
      </c>
      <c r="J328" t="str">
        <f aca="true" t="shared" si="39" ref="J328:J340">CONCATENATE("081207","")</f>
        <v>081207</v>
      </c>
      <c r="K328" t="s">
        <v>22</v>
      </c>
      <c r="L328" t="s">
        <v>23</v>
      </c>
      <c r="M328" t="str">
        <f t="shared" si="36"/>
        <v>1</v>
      </c>
      <c r="O328" t="str">
        <f t="shared" si="38"/>
        <v>1 </v>
      </c>
      <c r="P328">
        <v>90.15</v>
      </c>
      <c r="Q328" t="s">
        <v>27</v>
      </c>
    </row>
    <row r="329" spans="1:17" ht="15">
      <c r="A329" t="s">
        <v>17</v>
      </c>
      <c r="B329" s="1">
        <v>43180</v>
      </c>
      <c r="C329" t="s">
        <v>651</v>
      </c>
      <c r="D329" t="str">
        <f>CONCATENATE("0060005331","")</f>
        <v>0060005331</v>
      </c>
      <c r="E329" t="str">
        <f>CONCATENATE("0120701000016       ","")</f>
        <v>0120701000016       </v>
      </c>
      <c r="F329" t="str">
        <f>CONCATENATE("2122894","")</f>
        <v>2122894</v>
      </c>
      <c r="G329" t="s">
        <v>688</v>
      </c>
      <c r="H329" t="s">
        <v>691</v>
      </c>
      <c r="I329" t="s">
        <v>692</v>
      </c>
      <c r="J329" t="str">
        <f t="shared" si="39"/>
        <v>081207</v>
      </c>
      <c r="K329" t="s">
        <v>22</v>
      </c>
      <c r="L329" t="s">
        <v>23</v>
      </c>
      <c r="M329" t="str">
        <f t="shared" si="36"/>
        <v>1</v>
      </c>
      <c r="O329" t="str">
        <f t="shared" si="38"/>
        <v>1 </v>
      </c>
      <c r="P329">
        <v>124.6</v>
      </c>
      <c r="Q329" t="s">
        <v>27</v>
      </c>
    </row>
    <row r="330" spans="1:17" ht="15">
      <c r="A330" t="s">
        <v>17</v>
      </c>
      <c r="B330" s="1">
        <v>43180</v>
      </c>
      <c r="C330" t="s">
        <v>651</v>
      </c>
      <c r="D330" t="str">
        <f>CONCATENATE("0060010427","")</f>
        <v>0060010427</v>
      </c>
      <c r="E330" t="str">
        <f>CONCATENATE("0120701000017       ","")</f>
        <v>0120701000017       </v>
      </c>
      <c r="F330" t="str">
        <f>CONCATENATE("1937633","")</f>
        <v>1937633</v>
      </c>
      <c r="G330" t="s">
        <v>688</v>
      </c>
      <c r="H330" t="s">
        <v>693</v>
      </c>
      <c r="I330" t="s">
        <v>694</v>
      </c>
      <c r="J330" t="str">
        <f t="shared" si="39"/>
        <v>081207</v>
      </c>
      <c r="K330" t="s">
        <v>22</v>
      </c>
      <c r="L330" t="s">
        <v>23</v>
      </c>
      <c r="M330" t="str">
        <f t="shared" si="36"/>
        <v>1</v>
      </c>
      <c r="O330" t="str">
        <f t="shared" si="38"/>
        <v>1 </v>
      </c>
      <c r="P330">
        <v>133.1</v>
      </c>
      <c r="Q330" t="s">
        <v>27</v>
      </c>
    </row>
    <row r="331" spans="1:17" ht="15">
      <c r="A331" t="s">
        <v>17</v>
      </c>
      <c r="B331" s="1">
        <v>43180</v>
      </c>
      <c r="C331" t="s">
        <v>651</v>
      </c>
      <c r="D331" t="str">
        <f>CONCATENATE("0060005465","")</f>
        <v>0060005465</v>
      </c>
      <c r="E331" t="str">
        <f>CONCATENATE("0120701001130       ","")</f>
        <v>0120701001130       </v>
      </c>
      <c r="F331" t="str">
        <f>CONCATENATE("2122804","")</f>
        <v>2122804</v>
      </c>
      <c r="G331" t="s">
        <v>587</v>
      </c>
      <c r="H331" t="s">
        <v>695</v>
      </c>
      <c r="I331" t="s">
        <v>696</v>
      </c>
      <c r="J331" t="str">
        <f t="shared" si="39"/>
        <v>081207</v>
      </c>
      <c r="K331" t="s">
        <v>22</v>
      </c>
      <c r="L331" t="s">
        <v>23</v>
      </c>
      <c r="M331" t="str">
        <f t="shared" si="36"/>
        <v>1</v>
      </c>
      <c r="O331" t="str">
        <f t="shared" si="38"/>
        <v>1 </v>
      </c>
      <c r="P331">
        <v>3048</v>
      </c>
      <c r="Q331" t="s">
        <v>27</v>
      </c>
    </row>
    <row r="332" spans="1:17" ht="15">
      <c r="A332" t="s">
        <v>17</v>
      </c>
      <c r="B332" s="1">
        <v>43180</v>
      </c>
      <c r="C332" t="s">
        <v>651</v>
      </c>
      <c r="D332" t="str">
        <f>CONCATENATE("0060005484","")</f>
        <v>0060005484</v>
      </c>
      <c r="E332" t="str">
        <f>CONCATENATE("0120701001270       ","")</f>
        <v>0120701001270       </v>
      </c>
      <c r="F332" t="str">
        <f>CONCATENATE("1930011","")</f>
        <v>1930011</v>
      </c>
      <c r="G332" t="s">
        <v>697</v>
      </c>
      <c r="H332" t="s">
        <v>698</v>
      </c>
      <c r="I332" t="s">
        <v>699</v>
      </c>
      <c r="J332" t="str">
        <f t="shared" si="39"/>
        <v>081207</v>
      </c>
      <c r="K332" t="s">
        <v>22</v>
      </c>
      <c r="L332" t="s">
        <v>23</v>
      </c>
      <c r="M332" t="str">
        <f t="shared" si="36"/>
        <v>1</v>
      </c>
      <c r="O332" t="str">
        <f t="shared" si="38"/>
        <v>1 </v>
      </c>
      <c r="P332">
        <v>92.05</v>
      </c>
      <c r="Q332" t="s">
        <v>27</v>
      </c>
    </row>
    <row r="333" spans="1:17" ht="15">
      <c r="A333" t="s">
        <v>17</v>
      </c>
      <c r="B333" s="1">
        <v>43180</v>
      </c>
      <c r="C333" t="s">
        <v>651</v>
      </c>
      <c r="D333" t="str">
        <f>CONCATENATE("0060005601","")</f>
        <v>0060005601</v>
      </c>
      <c r="E333" t="str">
        <f>CONCATENATE("0120701002250       ","")</f>
        <v>0120701002250       </v>
      </c>
      <c r="F333" t="str">
        <f>CONCATENATE("2122898","")</f>
        <v>2122898</v>
      </c>
      <c r="G333" t="s">
        <v>587</v>
      </c>
      <c r="H333" t="s">
        <v>700</v>
      </c>
      <c r="I333" t="s">
        <v>701</v>
      </c>
      <c r="J333" t="str">
        <f t="shared" si="39"/>
        <v>081207</v>
      </c>
      <c r="K333" t="s">
        <v>22</v>
      </c>
      <c r="L333" t="s">
        <v>23</v>
      </c>
      <c r="M333" t="str">
        <f t="shared" si="36"/>
        <v>1</v>
      </c>
      <c r="O333" t="str">
        <f t="shared" si="38"/>
        <v>1 </v>
      </c>
      <c r="P333">
        <v>11.85</v>
      </c>
      <c r="Q333" t="s">
        <v>27</v>
      </c>
    </row>
    <row r="334" spans="1:17" ht="15">
      <c r="A334" t="s">
        <v>17</v>
      </c>
      <c r="B334" s="1">
        <v>43180</v>
      </c>
      <c r="C334" t="s">
        <v>651</v>
      </c>
      <c r="D334" t="str">
        <f>CONCATENATE("0060005615","")</f>
        <v>0060005615</v>
      </c>
      <c r="E334" t="str">
        <f>CONCATENATE("0120701002370       ","")</f>
        <v>0120701002370       </v>
      </c>
      <c r="F334" t="str">
        <f>CONCATENATE("2122402","")</f>
        <v>2122402</v>
      </c>
      <c r="G334" t="s">
        <v>587</v>
      </c>
      <c r="H334" t="s">
        <v>702</v>
      </c>
      <c r="I334" t="s">
        <v>703</v>
      </c>
      <c r="J334" t="str">
        <f t="shared" si="39"/>
        <v>081207</v>
      </c>
      <c r="K334" t="s">
        <v>22</v>
      </c>
      <c r="L334" t="s">
        <v>23</v>
      </c>
      <c r="M334" t="str">
        <f t="shared" si="36"/>
        <v>1</v>
      </c>
      <c r="O334" t="str">
        <f t="shared" si="38"/>
        <v>1 </v>
      </c>
      <c r="P334">
        <v>48.3</v>
      </c>
      <c r="Q334" t="s">
        <v>27</v>
      </c>
    </row>
    <row r="335" spans="1:17" ht="15">
      <c r="A335" t="s">
        <v>17</v>
      </c>
      <c r="B335" s="1">
        <v>43180</v>
      </c>
      <c r="C335" t="s">
        <v>651</v>
      </c>
      <c r="D335" t="str">
        <f>CONCATENATE("0060021464","")</f>
        <v>0060021464</v>
      </c>
      <c r="E335" t="str">
        <f>CONCATENATE("0120701002533       ","")</f>
        <v>0120701002533       </v>
      </c>
      <c r="F335" t="str">
        <f>CONCATENATE("607301234","")</f>
        <v>607301234</v>
      </c>
      <c r="G335" t="s">
        <v>587</v>
      </c>
      <c r="H335" t="s">
        <v>704</v>
      </c>
      <c r="I335" t="s">
        <v>705</v>
      </c>
      <c r="J335" t="str">
        <f t="shared" si="39"/>
        <v>081207</v>
      </c>
      <c r="K335" t="s">
        <v>22</v>
      </c>
      <c r="L335" t="s">
        <v>23</v>
      </c>
      <c r="M335" t="str">
        <f t="shared" si="36"/>
        <v>1</v>
      </c>
      <c r="N335" t="str">
        <f>CONCATENATE("984586434","")</f>
        <v>984586434</v>
      </c>
      <c r="O335" t="str">
        <f t="shared" si="38"/>
        <v>1 </v>
      </c>
      <c r="P335">
        <v>18.15</v>
      </c>
      <c r="Q335" t="s">
        <v>27</v>
      </c>
    </row>
    <row r="336" spans="1:17" ht="15">
      <c r="A336" t="s">
        <v>17</v>
      </c>
      <c r="B336" s="1">
        <v>43180</v>
      </c>
      <c r="C336" t="s">
        <v>651</v>
      </c>
      <c r="D336" t="str">
        <f>CONCATENATE("0060018347","")</f>
        <v>0060018347</v>
      </c>
      <c r="E336" t="str">
        <f>CONCATENATE("0120701002668       ","")</f>
        <v>0120701002668       </v>
      </c>
      <c r="F336" t="str">
        <f>CONCATENATE("2187745","")</f>
        <v>2187745</v>
      </c>
      <c r="G336" t="s">
        <v>697</v>
      </c>
      <c r="H336" t="s">
        <v>706</v>
      </c>
      <c r="I336" t="s">
        <v>707</v>
      </c>
      <c r="J336" t="str">
        <f t="shared" si="39"/>
        <v>081207</v>
      </c>
      <c r="K336" t="s">
        <v>22</v>
      </c>
      <c r="L336" t="s">
        <v>23</v>
      </c>
      <c r="M336" t="str">
        <f t="shared" si="36"/>
        <v>1</v>
      </c>
      <c r="O336" t="str">
        <f t="shared" si="38"/>
        <v>1 </v>
      </c>
      <c r="P336">
        <v>10.55</v>
      </c>
      <c r="Q336" t="s">
        <v>27</v>
      </c>
    </row>
    <row r="337" spans="1:17" ht="15">
      <c r="A337" t="s">
        <v>17</v>
      </c>
      <c r="B337" s="1">
        <v>43180</v>
      </c>
      <c r="C337" t="s">
        <v>651</v>
      </c>
      <c r="D337" t="str">
        <f>CONCATENATE("0060005681","")</f>
        <v>0060005681</v>
      </c>
      <c r="E337" t="str">
        <f>CONCATENATE("0120702000180       ","")</f>
        <v>0120702000180       </v>
      </c>
      <c r="F337" t="str">
        <f>CONCATENATE("1937635","")</f>
        <v>1937635</v>
      </c>
      <c r="G337" t="s">
        <v>587</v>
      </c>
      <c r="H337" t="s">
        <v>708</v>
      </c>
      <c r="I337" t="s">
        <v>709</v>
      </c>
      <c r="J337" t="str">
        <f t="shared" si="39"/>
        <v>081207</v>
      </c>
      <c r="K337" t="s">
        <v>22</v>
      </c>
      <c r="L337" t="s">
        <v>23</v>
      </c>
      <c r="M337" t="str">
        <f t="shared" si="36"/>
        <v>1</v>
      </c>
      <c r="O337" t="str">
        <f t="shared" si="38"/>
        <v>1 </v>
      </c>
      <c r="P337">
        <v>57.05</v>
      </c>
      <c r="Q337" t="s">
        <v>27</v>
      </c>
    </row>
    <row r="338" spans="1:17" ht="15">
      <c r="A338" t="s">
        <v>17</v>
      </c>
      <c r="B338" s="1">
        <v>43180</v>
      </c>
      <c r="C338" t="s">
        <v>651</v>
      </c>
      <c r="D338" t="str">
        <f>CONCATENATE("0060005705","")</f>
        <v>0060005705</v>
      </c>
      <c r="E338" t="str">
        <f>CONCATENATE("0120702001945       ","")</f>
        <v>0120702001945       </v>
      </c>
      <c r="F338" t="str">
        <f>CONCATENATE("2120832","")</f>
        <v>2120832</v>
      </c>
      <c r="G338" t="s">
        <v>697</v>
      </c>
      <c r="H338" t="s">
        <v>710</v>
      </c>
      <c r="I338" t="s">
        <v>711</v>
      </c>
      <c r="J338" t="str">
        <f t="shared" si="39"/>
        <v>081207</v>
      </c>
      <c r="K338" t="s">
        <v>22</v>
      </c>
      <c r="L338" t="s">
        <v>23</v>
      </c>
      <c r="M338" t="str">
        <f t="shared" si="36"/>
        <v>1</v>
      </c>
      <c r="O338" t="str">
        <f t="shared" si="38"/>
        <v>1 </v>
      </c>
      <c r="P338">
        <v>21.9</v>
      </c>
      <c r="Q338" t="s">
        <v>27</v>
      </c>
    </row>
    <row r="339" spans="1:17" ht="15">
      <c r="A339" t="s">
        <v>17</v>
      </c>
      <c r="B339" s="1">
        <v>43180</v>
      </c>
      <c r="C339" t="s">
        <v>651</v>
      </c>
      <c r="D339" t="str">
        <f>CONCATENATE("0060019870","")</f>
        <v>0060019870</v>
      </c>
      <c r="E339" t="str">
        <f>CONCATENATE("0120702003025       ","")</f>
        <v>0120702003025       </v>
      </c>
      <c r="F339" t="str">
        <f>CONCATENATE("606801798","")</f>
        <v>606801798</v>
      </c>
      <c r="G339" t="s">
        <v>697</v>
      </c>
      <c r="H339" t="s">
        <v>712</v>
      </c>
      <c r="I339" t="s">
        <v>713</v>
      </c>
      <c r="J339" t="str">
        <f t="shared" si="39"/>
        <v>081207</v>
      </c>
      <c r="K339" t="s">
        <v>22</v>
      </c>
      <c r="L339" t="s">
        <v>23</v>
      </c>
      <c r="M339" t="str">
        <f t="shared" si="36"/>
        <v>1</v>
      </c>
      <c r="O339" t="str">
        <f t="shared" si="38"/>
        <v>1 </v>
      </c>
      <c r="P339">
        <v>10.35</v>
      </c>
      <c r="Q339" t="s">
        <v>27</v>
      </c>
    </row>
    <row r="340" spans="1:17" ht="15">
      <c r="A340" t="s">
        <v>17</v>
      </c>
      <c r="B340" s="1">
        <v>43180</v>
      </c>
      <c r="C340" t="s">
        <v>651</v>
      </c>
      <c r="D340" t="str">
        <f>CONCATENATE("0060014508","")</f>
        <v>0060014508</v>
      </c>
      <c r="E340" t="str">
        <f>CONCATENATE("0120702003043       ","")</f>
        <v>0120702003043       </v>
      </c>
      <c r="F340" t="str">
        <f>CONCATENATE("1336525","")</f>
        <v>1336525</v>
      </c>
      <c r="G340" t="s">
        <v>697</v>
      </c>
      <c r="H340" t="s">
        <v>714</v>
      </c>
      <c r="I340" t="s">
        <v>715</v>
      </c>
      <c r="J340" t="str">
        <f t="shared" si="39"/>
        <v>081207</v>
      </c>
      <c r="K340" t="s">
        <v>22</v>
      </c>
      <c r="L340" t="s">
        <v>23</v>
      </c>
      <c r="M340" t="str">
        <f t="shared" si="36"/>
        <v>1</v>
      </c>
      <c r="O340" t="str">
        <f t="shared" si="38"/>
        <v>1 </v>
      </c>
      <c r="P340">
        <v>23.45</v>
      </c>
      <c r="Q340" t="s">
        <v>27</v>
      </c>
    </row>
    <row r="341" spans="1:17" ht="15">
      <c r="A341" t="s">
        <v>17</v>
      </c>
      <c r="B341" s="1">
        <v>43180</v>
      </c>
      <c r="C341" t="s">
        <v>651</v>
      </c>
      <c r="D341" t="str">
        <f>CONCATENATE("0060014964","")</f>
        <v>0060014964</v>
      </c>
      <c r="E341" t="str">
        <f>CONCATENATE("0120702003123       ","")</f>
        <v>0120702003123       </v>
      </c>
      <c r="F341" t="str">
        <f>CONCATENATE("0607657690","")</f>
        <v>0607657690</v>
      </c>
      <c r="G341" t="s">
        <v>716</v>
      </c>
      <c r="H341" t="s">
        <v>717</v>
      </c>
      <c r="I341" t="s">
        <v>718</v>
      </c>
      <c r="J341" t="str">
        <f>CONCATENATE("081211","")</f>
        <v>081211</v>
      </c>
      <c r="K341" t="s">
        <v>22</v>
      </c>
      <c r="L341" t="s">
        <v>23</v>
      </c>
      <c r="M341" t="str">
        <f t="shared" si="36"/>
        <v>1</v>
      </c>
      <c r="O341" t="str">
        <f t="shared" si="38"/>
        <v>1 </v>
      </c>
      <c r="P341">
        <v>13.25</v>
      </c>
      <c r="Q341" t="s">
        <v>27</v>
      </c>
    </row>
    <row r="342" spans="1:17" ht="15">
      <c r="A342" t="s">
        <v>17</v>
      </c>
      <c r="B342" s="1">
        <v>43180</v>
      </c>
      <c r="C342" t="s">
        <v>278</v>
      </c>
      <c r="D342" t="str">
        <f>CONCATENATE("0060015535","")</f>
        <v>0060015535</v>
      </c>
      <c r="E342" t="str">
        <f>CONCATENATE("0120703000007       ","")</f>
        <v>0120703000007       </v>
      </c>
      <c r="F342" t="str">
        <f>CONCATENATE("605932683","")</f>
        <v>605932683</v>
      </c>
      <c r="G342" t="s">
        <v>719</v>
      </c>
      <c r="H342" t="s">
        <v>720</v>
      </c>
      <c r="I342" t="s">
        <v>721</v>
      </c>
      <c r="J342" t="str">
        <f>CONCATENATE("081201","")</f>
        <v>081201</v>
      </c>
      <c r="K342" t="s">
        <v>22</v>
      </c>
      <c r="L342" t="s">
        <v>23</v>
      </c>
      <c r="M342" t="str">
        <f t="shared" si="36"/>
        <v>1</v>
      </c>
      <c r="O342" t="str">
        <f t="shared" si="38"/>
        <v>1 </v>
      </c>
      <c r="P342">
        <v>68.25</v>
      </c>
      <c r="Q342" t="s">
        <v>27</v>
      </c>
    </row>
    <row r="343" spans="1:17" ht="15">
      <c r="A343" t="s">
        <v>17</v>
      </c>
      <c r="B343" s="1">
        <v>43180</v>
      </c>
      <c r="C343" t="s">
        <v>278</v>
      </c>
      <c r="D343" t="str">
        <f>CONCATENATE("0060005722","")</f>
        <v>0060005722</v>
      </c>
      <c r="E343" t="str">
        <f>CONCATENATE("0120703000010       ","")</f>
        <v>0120703000010       </v>
      </c>
      <c r="F343" t="str">
        <f>CONCATENATE("606746353","")</f>
        <v>606746353</v>
      </c>
      <c r="G343" t="s">
        <v>719</v>
      </c>
      <c r="H343" t="s">
        <v>722</v>
      </c>
      <c r="I343" t="s">
        <v>723</v>
      </c>
      <c r="J343" t="str">
        <f>CONCATENATE("081201","")</f>
        <v>081201</v>
      </c>
      <c r="K343" t="s">
        <v>22</v>
      </c>
      <c r="L343" t="s">
        <v>23</v>
      </c>
      <c r="M343" t="str">
        <f t="shared" si="36"/>
        <v>1</v>
      </c>
      <c r="O343" t="str">
        <f t="shared" si="38"/>
        <v>1 </v>
      </c>
      <c r="P343">
        <v>190.8</v>
      </c>
      <c r="Q343" t="s">
        <v>27</v>
      </c>
    </row>
    <row r="344" spans="1:17" ht="15">
      <c r="A344" t="s">
        <v>17</v>
      </c>
      <c r="B344" s="1">
        <v>43180</v>
      </c>
      <c r="C344" t="s">
        <v>278</v>
      </c>
      <c r="D344" t="str">
        <f>CONCATENATE("0060013312","")</f>
        <v>0060013312</v>
      </c>
      <c r="E344" t="str">
        <f>CONCATENATE("0120703000049       ","")</f>
        <v>0120703000049       </v>
      </c>
      <c r="F344" t="str">
        <f>CONCATENATE("762852","")</f>
        <v>762852</v>
      </c>
      <c r="G344" t="s">
        <v>719</v>
      </c>
      <c r="H344" t="s">
        <v>724</v>
      </c>
      <c r="I344" t="s">
        <v>725</v>
      </c>
      <c r="J344" t="str">
        <f>CONCATENATE("081201","")</f>
        <v>081201</v>
      </c>
      <c r="K344" t="s">
        <v>22</v>
      </c>
      <c r="L344" t="s">
        <v>23</v>
      </c>
      <c r="M344" t="str">
        <f t="shared" si="36"/>
        <v>1</v>
      </c>
      <c r="O344" t="str">
        <f t="shared" si="38"/>
        <v>1 </v>
      </c>
      <c r="P344">
        <v>25.9</v>
      </c>
      <c r="Q344" t="s">
        <v>27</v>
      </c>
    </row>
    <row r="345" spans="1:17" ht="15">
      <c r="A345" t="s">
        <v>17</v>
      </c>
      <c r="B345" s="1">
        <v>43180</v>
      </c>
      <c r="C345" t="s">
        <v>278</v>
      </c>
      <c r="D345" t="str">
        <f>CONCATENATE("0060011788","")</f>
        <v>0060011788</v>
      </c>
      <c r="E345" t="str">
        <f>CONCATENATE("0120703000071       ","")</f>
        <v>0120703000071       </v>
      </c>
      <c r="F345" t="str">
        <f>CONCATENATE("605117855","")</f>
        <v>605117855</v>
      </c>
      <c r="G345" t="s">
        <v>719</v>
      </c>
      <c r="H345" t="s">
        <v>726</v>
      </c>
      <c r="I345" t="s">
        <v>727</v>
      </c>
      <c r="J345" t="str">
        <f>CONCATENATE("081201","")</f>
        <v>081201</v>
      </c>
      <c r="K345" t="s">
        <v>22</v>
      </c>
      <c r="L345" t="s">
        <v>23</v>
      </c>
      <c r="M345" t="str">
        <f t="shared" si="36"/>
        <v>1</v>
      </c>
      <c r="O345" t="str">
        <f t="shared" si="38"/>
        <v>1 </v>
      </c>
      <c r="P345">
        <v>14.75</v>
      </c>
      <c r="Q345" t="s">
        <v>27</v>
      </c>
    </row>
    <row r="346" spans="1:17" ht="15">
      <c r="A346" t="s">
        <v>17</v>
      </c>
      <c r="B346" s="1">
        <v>43180</v>
      </c>
      <c r="C346" t="s">
        <v>278</v>
      </c>
      <c r="D346" t="str">
        <f>CONCATENATE("0060012586","")</f>
        <v>0060012586</v>
      </c>
      <c r="E346" t="str">
        <f>CONCATENATE("0120703000142       ","")</f>
        <v>0120703000142       </v>
      </c>
      <c r="F346" t="str">
        <f>CONCATENATE("605084677","")</f>
        <v>605084677</v>
      </c>
      <c r="G346" t="s">
        <v>719</v>
      </c>
      <c r="H346" t="s">
        <v>728</v>
      </c>
      <c r="I346" t="s">
        <v>729</v>
      </c>
      <c r="J346" t="str">
        <f>CONCATENATE("081201","")</f>
        <v>081201</v>
      </c>
      <c r="K346" t="s">
        <v>22</v>
      </c>
      <c r="L346" t="s">
        <v>23</v>
      </c>
      <c r="M346" t="str">
        <f t="shared" si="36"/>
        <v>1</v>
      </c>
      <c r="O346" t="str">
        <f t="shared" si="38"/>
        <v>1 </v>
      </c>
      <c r="P346">
        <v>116.2</v>
      </c>
      <c r="Q346" t="s">
        <v>27</v>
      </c>
    </row>
    <row r="347" spans="1:17" ht="15">
      <c r="A347" t="s">
        <v>17</v>
      </c>
      <c r="B347" s="1">
        <v>43180</v>
      </c>
      <c r="C347" t="s">
        <v>651</v>
      </c>
      <c r="D347" t="str">
        <f>CONCATENATE("0060019035","")</f>
        <v>0060019035</v>
      </c>
      <c r="E347" t="str">
        <f>CONCATENATE("0120703000268       ","")</f>
        <v>0120703000268       </v>
      </c>
      <c r="F347" t="str">
        <f>CONCATENATE("1680213","")</f>
        <v>1680213</v>
      </c>
      <c r="G347" t="s">
        <v>719</v>
      </c>
      <c r="H347" t="s">
        <v>730</v>
      </c>
      <c r="I347" t="s">
        <v>731</v>
      </c>
      <c r="J347" t="str">
        <f aca="true" t="shared" si="40" ref="J347:J365">CONCATENATE("081207","")</f>
        <v>081207</v>
      </c>
      <c r="K347" t="s">
        <v>22</v>
      </c>
      <c r="L347" t="s">
        <v>23</v>
      </c>
      <c r="M347" t="str">
        <f>CONCATENATE("3","")</f>
        <v>3</v>
      </c>
      <c r="O347" t="str">
        <f t="shared" si="38"/>
        <v>1 </v>
      </c>
      <c r="P347">
        <v>96.25</v>
      </c>
      <c r="Q347" t="s">
        <v>24</v>
      </c>
    </row>
    <row r="348" spans="1:17" ht="15">
      <c r="A348" t="s">
        <v>17</v>
      </c>
      <c r="B348" s="1">
        <v>43180</v>
      </c>
      <c r="C348" t="s">
        <v>651</v>
      </c>
      <c r="D348" t="str">
        <f>CONCATENATE("0060005767","")</f>
        <v>0060005767</v>
      </c>
      <c r="E348" t="str">
        <f>CONCATENATE("0120703000280       ","")</f>
        <v>0120703000280       </v>
      </c>
      <c r="F348" t="str">
        <f>CONCATENATE("2128900","")</f>
        <v>2128900</v>
      </c>
      <c r="G348" t="s">
        <v>719</v>
      </c>
      <c r="H348" t="s">
        <v>732</v>
      </c>
      <c r="I348" t="s">
        <v>733</v>
      </c>
      <c r="J348" t="str">
        <f t="shared" si="40"/>
        <v>081207</v>
      </c>
      <c r="K348" t="s">
        <v>22</v>
      </c>
      <c r="L348" t="s">
        <v>23</v>
      </c>
      <c r="M348" t="str">
        <f aca="true" t="shared" si="41" ref="M348:M354">CONCATENATE("1","")</f>
        <v>1</v>
      </c>
      <c r="O348" t="str">
        <f t="shared" si="38"/>
        <v>1 </v>
      </c>
      <c r="P348">
        <v>38</v>
      </c>
      <c r="Q348" t="s">
        <v>27</v>
      </c>
    </row>
    <row r="349" spans="1:17" ht="15">
      <c r="A349" t="s">
        <v>17</v>
      </c>
      <c r="B349" s="1">
        <v>43180</v>
      </c>
      <c r="C349" t="s">
        <v>651</v>
      </c>
      <c r="D349" t="str">
        <f>CONCATENATE("0060014519","")</f>
        <v>0060014519</v>
      </c>
      <c r="E349" t="str">
        <f>CONCATENATE("0120703000452       ","")</f>
        <v>0120703000452       </v>
      </c>
      <c r="F349" t="str">
        <f>CONCATENATE("1336521","")</f>
        <v>1336521</v>
      </c>
      <c r="G349" t="s">
        <v>719</v>
      </c>
      <c r="H349" t="s">
        <v>734</v>
      </c>
      <c r="I349" t="s">
        <v>735</v>
      </c>
      <c r="J349" t="str">
        <f t="shared" si="40"/>
        <v>081207</v>
      </c>
      <c r="K349" t="s">
        <v>22</v>
      </c>
      <c r="L349" t="s">
        <v>23</v>
      </c>
      <c r="M349" t="str">
        <f t="shared" si="41"/>
        <v>1</v>
      </c>
      <c r="O349" t="str">
        <f t="shared" si="38"/>
        <v>1 </v>
      </c>
      <c r="P349">
        <v>62.9</v>
      </c>
      <c r="Q349" t="s">
        <v>27</v>
      </c>
    </row>
    <row r="350" spans="1:17" ht="15">
      <c r="A350" t="s">
        <v>17</v>
      </c>
      <c r="B350" s="1">
        <v>43180</v>
      </c>
      <c r="C350" t="s">
        <v>651</v>
      </c>
      <c r="D350" t="str">
        <f>CONCATENATE("0060018480","")</f>
        <v>0060018480</v>
      </c>
      <c r="E350" t="str">
        <f>CONCATENATE("0120703000469       ","")</f>
        <v>0120703000469       </v>
      </c>
      <c r="F350" t="str">
        <f>CONCATENATE("2190862","")</f>
        <v>2190862</v>
      </c>
      <c r="G350" t="s">
        <v>719</v>
      </c>
      <c r="H350" t="s">
        <v>736</v>
      </c>
      <c r="I350" t="s">
        <v>737</v>
      </c>
      <c r="J350" t="str">
        <f t="shared" si="40"/>
        <v>081207</v>
      </c>
      <c r="K350" t="s">
        <v>22</v>
      </c>
      <c r="L350" t="s">
        <v>23</v>
      </c>
      <c r="M350" t="str">
        <f t="shared" si="41"/>
        <v>1</v>
      </c>
      <c r="O350" t="str">
        <f t="shared" si="38"/>
        <v>1 </v>
      </c>
      <c r="P350">
        <v>48.95</v>
      </c>
      <c r="Q350" t="s">
        <v>27</v>
      </c>
    </row>
    <row r="351" spans="1:17" ht="15">
      <c r="A351" t="s">
        <v>17</v>
      </c>
      <c r="B351" s="1">
        <v>43180</v>
      </c>
      <c r="C351" t="s">
        <v>651</v>
      </c>
      <c r="D351" t="str">
        <f>CONCATENATE("0060021452","")</f>
        <v>0060021452</v>
      </c>
      <c r="E351" t="str">
        <f>CONCATENATE("0120703000477       ","")</f>
        <v>0120703000477       </v>
      </c>
      <c r="F351" t="str">
        <f>CONCATENATE("607552015","")</f>
        <v>607552015</v>
      </c>
      <c r="G351" t="s">
        <v>719</v>
      </c>
      <c r="H351" t="s">
        <v>738</v>
      </c>
      <c r="I351" t="s">
        <v>739</v>
      </c>
      <c r="J351" t="str">
        <f t="shared" si="40"/>
        <v>081207</v>
      </c>
      <c r="K351" t="s">
        <v>22</v>
      </c>
      <c r="L351" t="s">
        <v>23</v>
      </c>
      <c r="M351" t="str">
        <f t="shared" si="41"/>
        <v>1</v>
      </c>
      <c r="N351" t="str">
        <f>CONCATENATE("958759343","")</f>
        <v>958759343</v>
      </c>
      <c r="O351" t="str">
        <f t="shared" si="38"/>
        <v>1 </v>
      </c>
      <c r="P351">
        <v>29.45</v>
      </c>
      <c r="Q351" t="s">
        <v>27</v>
      </c>
    </row>
    <row r="352" spans="1:17" ht="15">
      <c r="A352" t="s">
        <v>17</v>
      </c>
      <c r="B352" s="1">
        <v>43180</v>
      </c>
      <c r="C352" t="s">
        <v>651</v>
      </c>
      <c r="D352" t="str">
        <f>CONCATENATE("0060020181","")</f>
        <v>0060020181</v>
      </c>
      <c r="E352" t="str">
        <f>CONCATENATE("0120704000001       ","")</f>
        <v>0120704000001       </v>
      </c>
      <c r="F352" t="str">
        <f>CONCATENATE("606846808","")</f>
        <v>606846808</v>
      </c>
      <c r="G352" t="s">
        <v>697</v>
      </c>
      <c r="H352" t="s">
        <v>740</v>
      </c>
      <c r="I352" t="s">
        <v>741</v>
      </c>
      <c r="J352" t="str">
        <f t="shared" si="40"/>
        <v>081207</v>
      </c>
      <c r="K352" t="s">
        <v>22</v>
      </c>
      <c r="L352" t="s">
        <v>23</v>
      </c>
      <c r="M352" t="str">
        <f t="shared" si="41"/>
        <v>1</v>
      </c>
      <c r="O352" t="str">
        <f t="shared" si="38"/>
        <v>1 </v>
      </c>
      <c r="P352">
        <v>13.25</v>
      </c>
      <c r="Q352" t="s">
        <v>27</v>
      </c>
    </row>
    <row r="353" spans="1:17" ht="15">
      <c r="A353" t="s">
        <v>17</v>
      </c>
      <c r="B353" s="1">
        <v>43180</v>
      </c>
      <c r="C353" t="s">
        <v>651</v>
      </c>
      <c r="D353" t="str">
        <f>CONCATENATE("0060014908","")</f>
        <v>0060014908</v>
      </c>
      <c r="E353" t="str">
        <f>CONCATENATE("0120704000080       ","")</f>
        <v>0120704000080       </v>
      </c>
      <c r="F353" t="str">
        <f>CONCATENATE("606029666","")</f>
        <v>606029666</v>
      </c>
      <c r="G353" t="s">
        <v>697</v>
      </c>
      <c r="H353" t="s">
        <v>742</v>
      </c>
      <c r="I353" t="s">
        <v>743</v>
      </c>
      <c r="J353" t="str">
        <f t="shared" si="40"/>
        <v>081207</v>
      </c>
      <c r="K353" t="s">
        <v>22</v>
      </c>
      <c r="L353" t="s">
        <v>23</v>
      </c>
      <c r="M353" t="str">
        <f t="shared" si="41"/>
        <v>1</v>
      </c>
      <c r="O353" t="str">
        <f t="shared" si="38"/>
        <v>1 </v>
      </c>
      <c r="P353">
        <v>24.55</v>
      </c>
      <c r="Q353" t="s">
        <v>27</v>
      </c>
    </row>
    <row r="354" spans="1:17" ht="15">
      <c r="A354" t="s">
        <v>17</v>
      </c>
      <c r="B354" s="1">
        <v>43180</v>
      </c>
      <c r="C354" t="s">
        <v>651</v>
      </c>
      <c r="D354" t="str">
        <f>CONCATENATE("0060005869","")</f>
        <v>0060005869</v>
      </c>
      <c r="E354" t="str">
        <f>CONCATENATE("0120721000010       ","")</f>
        <v>0120721000010       </v>
      </c>
      <c r="F354" t="str">
        <f>CONCATENATE("2120533","")</f>
        <v>2120533</v>
      </c>
      <c r="G354" t="s">
        <v>744</v>
      </c>
      <c r="H354" t="s">
        <v>745</v>
      </c>
      <c r="I354" t="s">
        <v>746</v>
      </c>
      <c r="J354" t="str">
        <f t="shared" si="40"/>
        <v>081207</v>
      </c>
      <c r="K354" t="s">
        <v>22</v>
      </c>
      <c r="L354" t="s">
        <v>23</v>
      </c>
      <c r="M354" t="str">
        <f t="shared" si="41"/>
        <v>1</v>
      </c>
      <c r="O354" t="str">
        <f t="shared" si="38"/>
        <v>1 </v>
      </c>
      <c r="P354">
        <v>11.55</v>
      </c>
      <c r="Q354" t="s">
        <v>27</v>
      </c>
    </row>
    <row r="355" spans="1:17" ht="15">
      <c r="A355" t="s">
        <v>17</v>
      </c>
      <c r="B355" s="1">
        <v>43180</v>
      </c>
      <c r="C355" t="s">
        <v>651</v>
      </c>
      <c r="D355" t="str">
        <f>CONCATENATE("0060020785","")</f>
        <v>0060020785</v>
      </c>
      <c r="E355" t="str">
        <f>CONCATENATE("0120721000314       ","")</f>
        <v>0120721000314       </v>
      </c>
      <c r="F355" t="str">
        <f>CONCATENATE("607432018","")</f>
        <v>607432018</v>
      </c>
      <c r="G355" t="s">
        <v>747</v>
      </c>
      <c r="H355" t="s">
        <v>748</v>
      </c>
      <c r="I355" t="s">
        <v>749</v>
      </c>
      <c r="J355" t="str">
        <f t="shared" si="40"/>
        <v>081207</v>
      </c>
      <c r="K355" t="s">
        <v>22</v>
      </c>
      <c r="L355" t="s">
        <v>23</v>
      </c>
      <c r="M355" t="str">
        <f>CONCATENATE("3","")</f>
        <v>3</v>
      </c>
      <c r="N355" t="str">
        <f>CONCATENATE("951676711","")</f>
        <v>951676711</v>
      </c>
      <c r="O355" t="str">
        <f t="shared" si="38"/>
        <v>1 </v>
      </c>
      <c r="P355">
        <v>3543.85</v>
      </c>
      <c r="Q355" t="s">
        <v>24</v>
      </c>
    </row>
    <row r="356" spans="1:17" ht="15">
      <c r="A356" t="s">
        <v>17</v>
      </c>
      <c r="B356" s="1">
        <v>43180</v>
      </c>
      <c r="C356" t="s">
        <v>651</v>
      </c>
      <c r="D356" t="str">
        <f>CONCATENATE("0060005941","")</f>
        <v>0060005941</v>
      </c>
      <c r="E356" t="str">
        <f>CONCATENATE("0120722000155       ","")</f>
        <v>0120722000155       </v>
      </c>
      <c r="F356" t="str">
        <f>CONCATENATE("605932623","")</f>
        <v>605932623</v>
      </c>
      <c r="G356" t="s">
        <v>750</v>
      </c>
      <c r="H356" t="s">
        <v>751</v>
      </c>
      <c r="I356" t="s">
        <v>752</v>
      </c>
      <c r="J356" t="str">
        <f t="shared" si="40"/>
        <v>081207</v>
      </c>
      <c r="K356" t="s">
        <v>22</v>
      </c>
      <c r="L356" t="s">
        <v>23</v>
      </c>
      <c r="M356" t="str">
        <f aca="true" t="shared" si="42" ref="M356:M375">CONCATENATE("1","")</f>
        <v>1</v>
      </c>
      <c r="O356" t="str">
        <f t="shared" si="38"/>
        <v>1 </v>
      </c>
      <c r="P356">
        <v>14.1</v>
      </c>
      <c r="Q356" t="s">
        <v>27</v>
      </c>
    </row>
    <row r="357" spans="1:17" ht="15">
      <c r="A357" t="s">
        <v>17</v>
      </c>
      <c r="B357" s="1">
        <v>43180</v>
      </c>
      <c r="C357" t="s">
        <v>651</v>
      </c>
      <c r="D357" t="str">
        <f>CONCATENATE("0060020823","")</f>
        <v>0060020823</v>
      </c>
      <c r="E357" t="str">
        <f>CONCATENATE("0120722000333       ","")</f>
        <v>0120722000333       </v>
      </c>
      <c r="F357" t="str">
        <f>CONCATENATE("607449463","")</f>
        <v>607449463</v>
      </c>
      <c r="G357" t="s">
        <v>750</v>
      </c>
      <c r="H357" t="s">
        <v>753</v>
      </c>
      <c r="I357" t="s">
        <v>754</v>
      </c>
      <c r="J357" t="str">
        <f t="shared" si="40"/>
        <v>081207</v>
      </c>
      <c r="K357" t="s">
        <v>22</v>
      </c>
      <c r="L357" t="s">
        <v>23</v>
      </c>
      <c r="M357" t="str">
        <f t="shared" si="42"/>
        <v>1</v>
      </c>
      <c r="N357" t="str">
        <f>CONCATENATE("993556319","")</f>
        <v>993556319</v>
      </c>
      <c r="O357" t="str">
        <f t="shared" si="38"/>
        <v>1 </v>
      </c>
      <c r="P357">
        <v>56.8</v>
      </c>
      <c r="Q357" t="s">
        <v>27</v>
      </c>
    </row>
    <row r="358" spans="1:17" ht="15">
      <c r="A358" t="s">
        <v>17</v>
      </c>
      <c r="B358" s="1">
        <v>43180</v>
      </c>
      <c r="C358" t="s">
        <v>651</v>
      </c>
      <c r="D358" t="str">
        <f>CONCATENATE("0060010102","")</f>
        <v>0060010102</v>
      </c>
      <c r="E358" t="str">
        <f>CONCATENATE("0120722000710       ","")</f>
        <v>0120722000710       </v>
      </c>
      <c r="F358" t="str">
        <f>CONCATENATE("607449458","")</f>
        <v>607449458</v>
      </c>
      <c r="G358" t="s">
        <v>755</v>
      </c>
      <c r="H358" t="s">
        <v>756</v>
      </c>
      <c r="I358" t="s">
        <v>757</v>
      </c>
      <c r="J358" t="str">
        <f t="shared" si="40"/>
        <v>081207</v>
      </c>
      <c r="K358" t="s">
        <v>22</v>
      </c>
      <c r="L358" t="s">
        <v>23</v>
      </c>
      <c r="M358" t="str">
        <f t="shared" si="42"/>
        <v>1</v>
      </c>
      <c r="O358" t="str">
        <f t="shared" si="38"/>
        <v>1 </v>
      </c>
      <c r="P358">
        <v>9.8</v>
      </c>
      <c r="Q358" t="s">
        <v>27</v>
      </c>
    </row>
    <row r="359" spans="1:17" ht="15">
      <c r="A359" t="s">
        <v>17</v>
      </c>
      <c r="B359" s="1">
        <v>43180</v>
      </c>
      <c r="C359" t="s">
        <v>651</v>
      </c>
      <c r="D359" t="str">
        <f>CONCATENATE("0060010570","")</f>
        <v>0060010570</v>
      </c>
      <c r="E359" t="str">
        <f>CONCATENATE("0120723000130       ","")</f>
        <v>0120723000130       </v>
      </c>
      <c r="F359" t="str">
        <f>CONCATENATE("606802014","")</f>
        <v>606802014</v>
      </c>
      <c r="G359" t="s">
        <v>758</v>
      </c>
      <c r="H359" t="s">
        <v>759</v>
      </c>
      <c r="I359" t="s">
        <v>760</v>
      </c>
      <c r="J359" t="str">
        <f t="shared" si="40"/>
        <v>081207</v>
      </c>
      <c r="K359" t="s">
        <v>22</v>
      </c>
      <c r="L359" t="s">
        <v>23</v>
      </c>
      <c r="M359" t="str">
        <f t="shared" si="42"/>
        <v>1</v>
      </c>
      <c r="O359" t="str">
        <f t="shared" si="38"/>
        <v>1 </v>
      </c>
      <c r="P359">
        <v>16.25</v>
      </c>
      <c r="Q359" t="s">
        <v>27</v>
      </c>
    </row>
    <row r="360" spans="1:17" ht="15">
      <c r="A360" t="s">
        <v>17</v>
      </c>
      <c r="B360" s="1">
        <v>43180</v>
      </c>
      <c r="C360" t="s">
        <v>651</v>
      </c>
      <c r="D360" t="str">
        <f>CONCATENATE("0060017846","")</f>
        <v>0060017846</v>
      </c>
      <c r="E360" t="str">
        <f>CONCATENATE("0120724000240       ","")</f>
        <v>0120724000240       </v>
      </c>
      <c r="F360" t="str">
        <f>CONCATENATE("0606144661","")</f>
        <v>0606144661</v>
      </c>
      <c r="G360" t="s">
        <v>761</v>
      </c>
      <c r="H360" t="s">
        <v>762</v>
      </c>
      <c r="I360" t="s">
        <v>763</v>
      </c>
      <c r="J360" t="str">
        <f t="shared" si="40"/>
        <v>081207</v>
      </c>
      <c r="K360" t="s">
        <v>22</v>
      </c>
      <c r="L360" t="s">
        <v>23</v>
      </c>
      <c r="M360" t="str">
        <f t="shared" si="42"/>
        <v>1</v>
      </c>
      <c r="O360" t="str">
        <f t="shared" si="38"/>
        <v>1 </v>
      </c>
      <c r="P360">
        <v>9.25</v>
      </c>
      <c r="Q360" t="s">
        <v>27</v>
      </c>
    </row>
    <row r="361" spans="1:17" ht="15">
      <c r="A361" t="s">
        <v>17</v>
      </c>
      <c r="B361" s="1">
        <v>43180</v>
      </c>
      <c r="C361" t="s">
        <v>651</v>
      </c>
      <c r="D361" t="str">
        <f>CONCATENATE("0060017855","")</f>
        <v>0060017855</v>
      </c>
      <c r="E361" t="str">
        <f>CONCATENATE("0120725000030       ","")</f>
        <v>0120725000030       </v>
      </c>
      <c r="F361" t="str">
        <f>CONCATENATE("0606144454","")</f>
        <v>0606144454</v>
      </c>
      <c r="G361" t="s">
        <v>764</v>
      </c>
      <c r="H361" t="s">
        <v>765</v>
      </c>
      <c r="I361" t="s">
        <v>766</v>
      </c>
      <c r="J361" t="str">
        <f t="shared" si="40"/>
        <v>081207</v>
      </c>
      <c r="K361" t="s">
        <v>22</v>
      </c>
      <c r="L361" t="s">
        <v>23</v>
      </c>
      <c r="M361" t="str">
        <f t="shared" si="42"/>
        <v>1</v>
      </c>
      <c r="O361" t="str">
        <f t="shared" si="38"/>
        <v>1 </v>
      </c>
      <c r="P361">
        <v>13.3</v>
      </c>
      <c r="Q361" t="s">
        <v>27</v>
      </c>
    </row>
    <row r="362" spans="1:17" ht="15">
      <c r="A362" t="s">
        <v>17</v>
      </c>
      <c r="B362" s="1">
        <v>43180</v>
      </c>
      <c r="C362" t="s">
        <v>651</v>
      </c>
      <c r="D362" t="str">
        <f>CONCATENATE("0060017856","")</f>
        <v>0060017856</v>
      </c>
      <c r="E362" t="str">
        <f>CONCATENATE("0120725000040       ","")</f>
        <v>0120725000040       </v>
      </c>
      <c r="F362" t="str">
        <f>CONCATENATE("0606095432","")</f>
        <v>0606095432</v>
      </c>
      <c r="G362" t="s">
        <v>764</v>
      </c>
      <c r="H362" t="s">
        <v>767</v>
      </c>
      <c r="I362" t="s">
        <v>766</v>
      </c>
      <c r="J362" t="str">
        <f t="shared" si="40"/>
        <v>081207</v>
      </c>
      <c r="K362" t="s">
        <v>22</v>
      </c>
      <c r="L362" t="s">
        <v>23</v>
      </c>
      <c r="M362" t="str">
        <f t="shared" si="42"/>
        <v>1</v>
      </c>
      <c r="O362" t="str">
        <f t="shared" si="38"/>
        <v>1 </v>
      </c>
      <c r="P362">
        <v>12.35</v>
      </c>
      <c r="Q362" t="s">
        <v>27</v>
      </c>
    </row>
    <row r="363" spans="1:17" ht="15">
      <c r="A363" t="s">
        <v>17</v>
      </c>
      <c r="B363" s="1">
        <v>43180</v>
      </c>
      <c r="C363" t="s">
        <v>651</v>
      </c>
      <c r="D363" t="str">
        <f>CONCATENATE("0060017864","")</f>
        <v>0060017864</v>
      </c>
      <c r="E363" t="str">
        <f>CONCATENATE("0120725000120       ","")</f>
        <v>0120725000120       </v>
      </c>
      <c r="F363" t="str">
        <f>CONCATENATE("2014019110","")</f>
        <v>2014019110</v>
      </c>
      <c r="G363" t="s">
        <v>764</v>
      </c>
      <c r="H363" t="s">
        <v>768</v>
      </c>
      <c r="I363" t="s">
        <v>766</v>
      </c>
      <c r="J363" t="str">
        <f t="shared" si="40"/>
        <v>081207</v>
      </c>
      <c r="K363" t="s">
        <v>22</v>
      </c>
      <c r="L363" t="s">
        <v>23</v>
      </c>
      <c r="M363" t="str">
        <f t="shared" si="42"/>
        <v>1</v>
      </c>
      <c r="O363" t="str">
        <f t="shared" si="38"/>
        <v>1 </v>
      </c>
      <c r="P363">
        <v>9.3</v>
      </c>
      <c r="Q363" t="s">
        <v>27</v>
      </c>
    </row>
    <row r="364" spans="1:17" ht="15">
      <c r="A364" t="s">
        <v>17</v>
      </c>
      <c r="B364" s="1">
        <v>43180</v>
      </c>
      <c r="C364" t="s">
        <v>651</v>
      </c>
      <c r="D364" t="str">
        <f>CONCATENATE("0060017867","")</f>
        <v>0060017867</v>
      </c>
      <c r="E364" t="str">
        <f>CONCATENATE("0120725000150       ","")</f>
        <v>0120725000150       </v>
      </c>
      <c r="F364" t="str">
        <f>CONCATENATE("0606095437","")</f>
        <v>0606095437</v>
      </c>
      <c r="G364" t="s">
        <v>764</v>
      </c>
      <c r="H364" t="s">
        <v>769</v>
      </c>
      <c r="I364" t="s">
        <v>766</v>
      </c>
      <c r="J364" t="str">
        <f t="shared" si="40"/>
        <v>081207</v>
      </c>
      <c r="K364" t="s">
        <v>22</v>
      </c>
      <c r="L364" t="s">
        <v>23</v>
      </c>
      <c r="M364" t="str">
        <f t="shared" si="42"/>
        <v>1</v>
      </c>
      <c r="O364" t="str">
        <f t="shared" si="38"/>
        <v>1 </v>
      </c>
      <c r="P364">
        <v>14.9</v>
      </c>
      <c r="Q364" t="s">
        <v>27</v>
      </c>
    </row>
    <row r="365" spans="1:17" ht="15">
      <c r="A365" t="s">
        <v>17</v>
      </c>
      <c r="B365" s="1">
        <v>43180</v>
      </c>
      <c r="C365" t="s">
        <v>651</v>
      </c>
      <c r="D365" t="str">
        <f>CONCATENATE("0060017810","")</f>
        <v>0060017810</v>
      </c>
      <c r="E365" t="str">
        <f>CONCATENATE("0120726000060       ","")</f>
        <v>0120726000060       </v>
      </c>
      <c r="F365" t="str">
        <f>CONCATENATE("0606095698","")</f>
        <v>0606095698</v>
      </c>
      <c r="G365" t="s">
        <v>770</v>
      </c>
      <c r="H365" t="s">
        <v>771</v>
      </c>
      <c r="I365" t="s">
        <v>772</v>
      </c>
      <c r="J365" t="str">
        <f t="shared" si="40"/>
        <v>081207</v>
      </c>
      <c r="K365" t="s">
        <v>22</v>
      </c>
      <c r="L365" t="s">
        <v>23</v>
      </c>
      <c r="M365" t="str">
        <f t="shared" si="42"/>
        <v>1</v>
      </c>
      <c r="O365" t="str">
        <f t="shared" si="38"/>
        <v>1 </v>
      </c>
      <c r="P365">
        <v>20.65</v>
      </c>
      <c r="Q365" t="s">
        <v>27</v>
      </c>
    </row>
    <row r="366" spans="1:17" ht="15">
      <c r="A366" t="s">
        <v>17</v>
      </c>
      <c r="B366" s="1">
        <v>43180</v>
      </c>
      <c r="C366" t="s">
        <v>504</v>
      </c>
      <c r="D366" t="str">
        <f>CONCATENATE("0060005979","")</f>
        <v>0060005979</v>
      </c>
      <c r="E366" t="str">
        <f>CONCATENATE("0120785000060       ","")</f>
        <v>0120785000060       </v>
      </c>
      <c r="F366" t="str">
        <f>CONCATENATE("605932612","")</f>
        <v>605932612</v>
      </c>
      <c r="G366" t="s">
        <v>773</v>
      </c>
      <c r="H366" t="s">
        <v>774</v>
      </c>
      <c r="I366" t="s">
        <v>775</v>
      </c>
      <c r="J366" t="str">
        <f>CONCATENATE("081202","")</f>
        <v>081202</v>
      </c>
      <c r="K366" t="s">
        <v>22</v>
      </c>
      <c r="L366" t="s">
        <v>23</v>
      </c>
      <c r="M366" t="str">
        <f t="shared" si="42"/>
        <v>1</v>
      </c>
      <c r="O366" t="str">
        <f t="shared" si="38"/>
        <v>1 </v>
      </c>
      <c r="P366">
        <v>35.65</v>
      </c>
      <c r="Q366" t="s">
        <v>27</v>
      </c>
    </row>
    <row r="367" spans="1:17" ht="15">
      <c r="A367" t="s">
        <v>17</v>
      </c>
      <c r="B367" s="1">
        <v>43180</v>
      </c>
      <c r="C367" t="s">
        <v>504</v>
      </c>
      <c r="D367" t="str">
        <f>CONCATENATE("0060005989","")</f>
        <v>0060005989</v>
      </c>
      <c r="E367" t="str">
        <f>CONCATENATE("0120785000140       ","")</f>
        <v>0120785000140       </v>
      </c>
      <c r="F367" t="str">
        <f>CONCATENATE("607541702","")</f>
        <v>607541702</v>
      </c>
      <c r="G367" t="s">
        <v>773</v>
      </c>
      <c r="H367" t="s">
        <v>776</v>
      </c>
      <c r="I367" t="s">
        <v>775</v>
      </c>
      <c r="J367" t="str">
        <f>CONCATENATE("081202","")</f>
        <v>081202</v>
      </c>
      <c r="K367" t="s">
        <v>22</v>
      </c>
      <c r="L367" t="s">
        <v>23</v>
      </c>
      <c r="M367" t="str">
        <f t="shared" si="42"/>
        <v>1</v>
      </c>
      <c r="O367" t="str">
        <f t="shared" si="38"/>
        <v>1 </v>
      </c>
      <c r="P367">
        <v>15.45</v>
      </c>
      <c r="Q367" t="s">
        <v>27</v>
      </c>
    </row>
    <row r="368" spans="1:17" ht="15">
      <c r="A368" t="s">
        <v>17</v>
      </c>
      <c r="B368" s="1">
        <v>43180</v>
      </c>
      <c r="C368" t="s">
        <v>504</v>
      </c>
      <c r="D368" t="str">
        <f>CONCATENATE("0060011685","")</f>
        <v>0060011685</v>
      </c>
      <c r="E368" t="str">
        <f>CONCATENATE("0120790000385       ","")</f>
        <v>0120790000385       </v>
      </c>
      <c r="F368" t="str">
        <f>CONCATENATE("607309423","")</f>
        <v>607309423</v>
      </c>
      <c r="G368" t="s">
        <v>777</v>
      </c>
      <c r="H368" t="s">
        <v>778</v>
      </c>
      <c r="I368" t="s">
        <v>779</v>
      </c>
      <c r="J368" t="str">
        <f>CONCATENATE("081202","")</f>
        <v>081202</v>
      </c>
      <c r="K368" t="s">
        <v>22</v>
      </c>
      <c r="L368" t="s">
        <v>23</v>
      </c>
      <c r="M368" t="str">
        <f t="shared" si="42"/>
        <v>1</v>
      </c>
      <c r="O368" t="str">
        <f t="shared" si="38"/>
        <v>1 </v>
      </c>
      <c r="P368">
        <v>31.85</v>
      </c>
      <c r="Q368" t="s">
        <v>27</v>
      </c>
    </row>
    <row r="369" spans="1:17" ht="15">
      <c r="A369" t="s">
        <v>17</v>
      </c>
      <c r="B369" s="1">
        <v>43180</v>
      </c>
      <c r="C369" t="s">
        <v>64</v>
      </c>
      <c r="D369" t="str">
        <f>CONCATENATE("0060008203","")</f>
        <v>0060008203</v>
      </c>
      <c r="E369" t="str">
        <f>CONCATENATE("0121001000205       ","")</f>
        <v>0121001000205       </v>
      </c>
      <c r="F369" t="str">
        <f>CONCATENATE("605085085","")</f>
        <v>605085085</v>
      </c>
      <c r="G369" t="s">
        <v>780</v>
      </c>
      <c r="H369" t="s">
        <v>781</v>
      </c>
      <c r="I369" t="s">
        <v>782</v>
      </c>
      <c r="J369" t="str">
        <f aca="true" t="shared" si="43" ref="J369:J403">CONCATENATE("081211","")</f>
        <v>081211</v>
      </c>
      <c r="K369" t="s">
        <v>22</v>
      </c>
      <c r="L369" t="s">
        <v>23</v>
      </c>
      <c r="M369" t="str">
        <f t="shared" si="42"/>
        <v>1</v>
      </c>
      <c r="O369" t="str">
        <f t="shared" si="38"/>
        <v>1 </v>
      </c>
      <c r="P369">
        <v>49.9</v>
      </c>
      <c r="Q369" t="s">
        <v>27</v>
      </c>
    </row>
    <row r="370" spans="1:17" ht="15">
      <c r="A370" t="s">
        <v>17</v>
      </c>
      <c r="B370" s="1">
        <v>43180</v>
      </c>
      <c r="C370" t="s">
        <v>64</v>
      </c>
      <c r="D370" t="str">
        <f>CONCATENATE("0060006124","")</f>
        <v>0060006124</v>
      </c>
      <c r="E370" t="str">
        <f>CONCATENATE("0121001000605       ","")</f>
        <v>0121001000605       </v>
      </c>
      <c r="F370" t="str">
        <f>CONCATENATE("605754031","")</f>
        <v>605754031</v>
      </c>
      <c r="G370" t="s">
        <v>780</v>
      </c>
      <c r="H370" t="s">
        <v>783</v>
      </c>
      <c r="I370" t="s">
        <v>784</v>
      </c>
      <c r="J370" t="str">
        <f t="shared" si="43"/>
        <v>081211</v>
      </c>
      <c r="K370" t="s">
        <v>22</v>
      </c>
      <c r="L370" t="s">
        <v>23</v>
      </c>
      <c r="M370" t="str">
        <f t="shared" si="42"/>
        <v>1</v>
      </c>
      <c r="O370" t="str">
        <f t="shared" si="38"/>
        <v>1 </v>
      </c>
      <c r="P370">
        <v>43.25</v>
      </c>
      <c r="Q370" t="s">
        <v>27</v>
      </c>
    </row>
    <row r="371" spans="1:17" ht="15">
      <c r="A371" t="s">
        <v>17</v>
      </c>
      <c r="B371" s="1">
        <v>43180</v>
      </c>
      <c r="C371" t="s">
        <v>64</v>
      </c>
      <c r="D371" t="str">
        <f>CONCATENATE("0060006155","")</f>
        <v>0060006155</v>
      </c>
      <c r="E371" t="str">
        <f>CONCATENATE("0121001000855       ","")</f>
        <v>0121001000855       </v>
      </c>
      <c r="F371" t="str">
        <f>CONCATENATE("1866364","")</f>
        <v>1866364</v>
      </c>
      <c r="G371" t="s">
        <v>780</v>
      </c>
      <c r="H371" t="s">
        <v>785</v>
      </c>
      <c r="I371" t="s">
        <v>786</v>
      </c>
      <c r="J371" t="str">
        <f t="shared" si="43"/>
        <v>081211</v>
      </c>
      <c r="K371" t="s">
        <v>22</v>
      </c>
      <c r="L371" t="s">
        <v>23</v>
      </c>
      <c r="M371" t="str">
        <f t="shared" si="42"/>
        <v>1</v>
      </c>
      <c r="O371" t="str">
        <f t="shared" si="38"/>
        <v>1 </v>
      </c>
      <c r="P371">
        <v>11.85</v>
      </c>
      <c r="Q371" t="s">
        <v>27</v>
      </c>
    </row>
    <row r="372" spans="1:17" ht="15">
      <c r="A372" t="s">
        <v>17</v>
      </c>
      <c r="B372" s="1">
        <v>43180</v>
      </c>
      <c r="C372" t="s">
        <v>64</v>
      </c>
      <c r="D372" t="str">
        <f>CONCATENATE("0060006162","")</f>
        <v>0060006162</v>
      </c>
      <c r="E372" t="str">
        <f>CONCATENATE("0121001000895       ","")</f>
        <v>0121001000895       </v>
      </c>
      <c r="F372" t="str">
        <f>CONCATENATE("605746955","")</f>
        <v>605746955</v>
      </c>
      <c r="G372" t="s">
        <v>780</v>
      </c>
      <c r="H372" t="s">
        <v>787</v>
      </c>
      <c r="I372" t="s">
        <v>788</v>
      </c>
      <c r="J372" t="str">
        <f t="shared" si="43"/>
        <v>081211</v>
      </c>
      <c r="K372" t="s">
        <v>22</v>
      </c>
      <c r="L372" t="s">
        <v>23</v>
      </c>
      <c r="M372" t="str">
        <f t="shared" si="42"/>
        <v>1</v>
      </c>
      <c r="O372" t="str">
        <f t="shared" si="38"/>
        <v>1 </v>
      </c>
      <c r="P372">
        <v>154.2</v>
      </c>
      <c r="Q372" t="s">
        <v>27</v>
      </c>
    </row>
    <row r="373" spans="1:17" ht="15">
      <c r="A373" t="s">
        <v>17</v>
      </c>
      <c r="B373" s="1">
        <v>43180</v>
      </c>
      <c r="C373" t="s">
        <v>64</v>
      </c>
      <c r="D373" t="str">
        <f>CONCATENATE("0060006194","")</f>
        <v>0060006194</v>
      </c>
      <c r="E373" t="str">
        <f>CONCATENATE("0121001001095       ","")</f>
        <v>0121001001095       </v>
      </c>
      <c r="F373" t="str">
        <f>CONCATENATE("1864228","")</f>
        <v>1864228</v>
      </c>
      <c r="G373" t="s">
        <v>780</v>
      </c>
      <c r="H373" t="s">
        <v>789</v>
      </c>
      <c r="I373" t="s">
        <v>790</v>
      </c>
      <c r="J373" t="str">
        <f t="shared" si="43"/>
        <v>081211</v>
      </c>
      <c r="K373" t="s">
        <v>22</v>
      </c>
      <c r="L373" t="s">
        <v>23</v>
      </c>
      <c r="M373" t="str">
        <f t="shared" si="42"/>
        <v>1</v>
      </c>
      <c r="O373" t="str">
        <f t="shared" si="38"/>
        <v>1 </v>
      </c>
      <c r="P373">
        <v>64.9</v>
      </c>
      <c r="Q373" t="s">
        <v>27</v>
      </c>
    </row>
    <row r="374" spans="1:17" ht="15">
      <c r="A374" t="s">
        <v>17</v>
      </c>
      <c r="B374" s="1">
        <v>43180</v>
      </c>
      <c r="C374" t="s">
        <v>64</v>
      </c>
      <c r="D374" t="str">
        <f>CONCATENATE("0060009028","")</f>
        <v>0060009028</v>
      </c>
      <c r="E374" t="str">
        <f>CONCATENATE("0121001001145       ","")</f>
        <v>0121001001145       </v>
      </c>
      <c r="F374" t="str">
        <f>CONCATENATE("605943804","")</f>
        <v>605943804</v>
      </c>
      <c r="G374" t="s">
        <v>780</v>
      </c>
      <c r="H374" t="s">
        <v>791</v>
      </c>
      <c r="I374" t="s">
        <v>792</v>
      </c>
      <c r="J374" t="str">
        <f t="shared" si="43"/>
        <v>081211</v>
      </c>
      <c r="K374" t="s">
        <v>22</v>
      </c>
      <c r="L374" t="s">
        <v>23</v>
      </c>
      <c r="M374" t="str">
        <f t="shared" si="42"/>
        <v>1</v>
      </c>
      <c r="O374" t="str">
        <f t="shared" si="38"/>
        <v>1 </v>
      </c>
      <c r="P374">
        <v>105.6</v>
      </c>
      <c r="Q374" t="s">
        <v>27</v>
      </c>
    </row>
    <row r="375" spans="1:17" ht="15">
      <c r="A375" t="s">
        <v>17</v>
      </c>
      <c r="B375" s="1">
        <v>43180</v>
      </c>
      <c r="C375" t="s">
        <v>64</v>
      </c>
      <c r="D375" t="str">
        <f>CONCATENATE("0060006223","")</f>
        <v>0060006223</v>
      </c>
      <c r="E375" t="str">
        <f>CONCATENATE("0121001001270       ","")</f>
        <v>0121001001270       </v>
      </c>
      <c r="F375" t="str">
        <f>CONCATENATE("2150087","")</f>
        <v>2150087</v>
      </c>
      <c r="G375" t="s">
        <v>780</v>
      </c>
      <c r="H375" t="s">
        <v>793</v>
      </c>
      <c r="I375" t="s">
        <v>794</v>
      </c>
      <c r="J375" t="str">
        <f t="shared" si="43"/>
        <v>081211</v>
      </c>
      <c r="K375" t="s">
        <v>22</v>
      </c>
      <c r="L375" t="s">
        <v>23</v>
      </c>
      <c r="M375" t="str">
        <f t="shared" si="42"/>
        <v>1</v>
      </c>
      <c r="O375" t="str">
        <f t="shared" si="38"/>
        <v>1 </v>
      </c>
      <c r="P375">
        <v>100.15</v>
      </c>
      <c r="Q375" t="s">
        <v>27</v>
      </c>
    </row>
    <row r="376" spans="1:17" ht="15">
      <c r="A376" t="s">
        <v>17</v>
      </c>
      <c r="B376" s="1">
        <v>43180</v>
      </c>
      <c r="C376" t="s">
        <v>64</v>
      </c>
      <c r="D376" t="str">
        <f>CONCATENATE("0060025426","")</f>
        <v>0060025426</v>
      </c>
      <c r="E376" t="str">
        <f>CONCATENATE("0121001001274       ","")</f>
        <v>0121001001274       </v>
      </c>
      <c r="F376" t="str">
        <f>CONCATENATE("607640810","")</f>
        <v>607640810</v>
      </c>
      <c r="G376" t="s">
        <v>780</v>
      </c>
      <c r="H376" t="s">
        <v>795</v>
      </c>
      <c r="I376" t="s">
        <v>796</v>
      </c>
      <c r="J376" t="str">
        <f t="shared" si="43"/>
        <v>081211</v>
      </c>
      <c r="K376" t="s">
        <v>22</v>
      </c>
      <c r="L376" t="s">
        <v>23</v>
      </c>
      <c r="M376" t="str">
        <f>CONCATENATE("3","")</f>
        <v>3</v>
      </c>
      <c r="N376" t="str">
        <f>CONCATENATE("983025072","")</f>
        <v>983025072</v>
      </c>
      <c r="O376" t="str">
        <f t="shared" si="38"/>
        <v>1 </v>
      </c>
      <c r="P376">
        <v>117.55</v>
      </c>
      <c r="Q376" t="s">
        <v>24</v>
      </c>
    </row>
    <row r="377" spans="1:17" ht="15">
      <c r="A377" t="s">
        <v>17</v>
      </c>
      <c r="B377" s="1">
        <v>43180</v>
      </c>
      <c r="C377" t="s">
        <v>64</v>
      </c>
      <c r="D377" t="str">
        <f>CONCATENATE("0060006227","")</f>
        <v>0060006227</v>
      </c>
      <c r="E377" t="str">
        <f>CONCATENATE("0121001001295       ","")</f>
        <v>0121001001295       </v>
      </c>
      <c r="F377" t="str">
        <f>CONCATENATE("607430708","")</f>
        <v>607430708</v>
      </c>
      <c r="G377" t="s">
        <v>780</v>
      </c>
      <c r="H377" t="s">
        <v>797</v>
      </c>
      <c r="I377" t="s">
        <v>798</v>
      </c>
      <c r="J377" t="str">
        <f t="shared" si="43"/>
        <v>081211</v>
      </c>
      <c r="K377" t="s">
        <v>22</v>
      </c>
      <c r="L377" t="s">
        <v>23</v>
      </c>
      <c r="M377" t="str">
        <f>CONCATENATE("3","")</f>
        <v>3</v>
      </c>
      <c r="O377" t="str">
        <f t="shared" si="38"/>
        <v>1 </v>
      </c>
      <c r="P377">
        <v>15.1</v>
      </c>
      <c r="Q377" t="s">
        <v>24</v>
      </c>
    </row>
    <row r="378" spans="1:17" ht="15">
      <c r="A378" t="s">
        <v>17</v>
      </c>
      <c r="B378" s="1">
        <v>43180</v>
      </c>
      <c r="C378" t="s">
        <v>64</v>
      </c>
      <c r="D378" t="str">
        <f>CONCATENATE("0060006231","")</f>
        <v>0060006231</v>
      </c>
      <c r="E378" t="str">
        <f>CONCATENATE("0121001001320       ","")</f>
        <v>0121001001320       </v>
      </c>
      <c r="F378" t="str">
        <f>CONCATENATE("2120202","")</f>
        <v>2120202</v>
      </c>
      <c r="G378" t="s">
        <v>780</v>
      </c>
      <c r="H378" t="s">
        <v>799</v>
      </c>
      <c r="I378" t="s">
        <v>800</v>
      </c>
      <c r="J378" t="str">
        <f t="shared" si="43"/>
        <v>081211</v>
      </c>
      <c r="K378" t="s">
        <v>22</v>
      </c>
      <c r="L378" t="s">
        <v>23</v>
      </c>
      <c r="M378" t="str">
        <f aca="true" t="shared" si="44" ref="M378:M404">CONCATENATE("1","")</f>
        <v>1</v>
      </c>
      <c r="O378" t="str">
        <f t="shared" si="38"/>
        <v>1 </v>
      </c>
      <c r="P378">
        <v>11.75</v>
      </c>
      <c r="Q378" t="s">
        <v>27</v>
      </c>
    </row>
    <row r="379" spans="1:17" ht="15">
      <c r="A379" t="s">
        <v>17</v>
      </c>
      <c r="B379" s="1">
        <v>43180</v>
      </c>
      <c r="C379" t="s">
        <v>64</v>
      </c>
      <c r="D379" t="str">
        <f>CONCATENATE("0060006258","")</f>
        <v>0060006258</v>
      </c>
      <c r="E379" t="str">
        <f>CONCATENATE("0121001001485       ","")</f>
        <v>0121001001485       </v>
      </c>
      <c r="F379" t="str">
        <f>CONCATENATE("2127845","")</f>
        <v>2127845</v>
      </c>
      <c r="G379" t="s">
        <v>780</v>
      </c>
      <c r="H379" t="s">
        <v>801</v>
      </c>
      <c r="I379" t="s">
        <v>802</v>
      </c>
      <c r="J379" t="str">
        <f t="shared" si="43"/>
        <v>081211</v>
      </c>
      <c r="K379" t="s">
        <v>22</v>
      </c>
      <c r="L379" t="s">
        <v>23</v>
      </c>
      <c r="M379" t="str">
        <f t="shared" si="44"/>
        <v>1</v>
      </c>
      <c r="O379" t="str">
        <f t="shared" si="38"/>
        <v>1 </v>
      </c>
      <c r="P379">
        <v>40.25</v>
      </c>
      <c r="Q379" t="s">
        <v>27</v>
      </c>
    </row>
    <row r="380" spans="1:17" ht="15">
      <c r="A380" t="s">
        <v>17</v>
      </c>
      <c r="B380" s="1">
        <v>43180</v>
      </c>
      <c r="C380" t="s">
        <v>64</v>
      </c>
      <c r="D380" t="str">
        <f>CONCATENATE("0060010863","")</f>
        <v>0060010863</v>
      </c>
      <c r="E380" t="str">
        <f>CONCATENATE("0121001001535       ","")</f>
        <v>0121001001535       </v>
      </c>
      <c r="F380" t="str">
        <f>CONCATENATE("1865791","")</f>
        <v>1865791</v>
      </c>
      <c r="G380" t="s">
        <v>780</v>
      </c>
      <c r="H380" t="s">
        <v>803</v>
      </c>
      <c r="I380" t="s">
        <v>804</v>
      </c>
      <c r="J380" t="str">
        <f t="shared" si="43"/>
        <v>081211</v>
      </c>
      <c r="K380" t="s">
        <v>22</v>
      </c>
      <c r="L380" t="s">
        <v>23</v>
      </c>
      <c r="M380" t="str">
        <f t="shared" si="44"/>
        <v>1</v>
      </c>
      <c r="O380" t="str">
        <f t="shared" si="38"/>
        <v>1 </v>
      </c>
      <c r="P380">
        <v>91.65</v>
      </c>
      <c r="Q380" t="s">
        <v>27</v>
      </c>
    </row>
    <row r="381" spans="1:17" ht="15">
      <c r="A381" t="s">
        <v>17</v>
      </c>
      <c r="B381" s="1">
        <v>43180</v>
      </c>
      <c r="C381" t="s">
        <v>64</v>
      </c>
      <c r="D381" t="str">
        <f>CONCATENATE("0060015474","")</f>
        <v>0060015474</v>
      </c>
      <c r="E381" t="str">
        <f>CONCATENATE("0121001001538       ","")</f>
        <v>0121001001538       </v>
      </c>
      <c r="F381" t="str">
        <f>CONCATENATE("605933106","")</f>
        <v>605933106</v>
      </c>
      <c r="G381" t="s">
        <v>780</v>
      </c>
      <c r="H381" t="s">
        <v>805</v>
      </c>
      <c r="I381" t="s">
        <v>806</v>
      </c>
      <c r="J381" t="str">
        <f t="shared" si="43"/>
        <v>081211</v>
      </c>
      <c r="K381" t="s">
        <v>22</v>
      </c>
      <c r="L381" t="s">
        <v>23</v>
      </c>
      <c r="M381" t="str">
        <f t="shared" si="44"/>
        <v>1</v>
      </c>
      <c r="O381" t="str">
        <f t="shared" si="38"/>
        <v>1 </v>
      </c>
      <c r="P381">
        <v>217.9</v>
      </c>
      <c r="Q381" t="s">
        <v>27</v>
      </c>
    </row>
    <row r="382" spans="1:17" ht="15">
      <c r="A382" t="s">
        <v>17</v>
      </c>
      <c r="B382" s="1">
        <v>43180</v>
      </c>
      <c r="C382" t="s">
        <v>64</v>
      </c>
      <c r="D382" t="str">
        <f>CONCATENATE("0060008930","")</f>
        <v>0060008930</v>
      </c>
      <c r="E382" t="str">
        <f>CONCATENATE("0121001001765       ","")</f>
        <v>0121001001765       </v>
      </c>
      <c r="F382" t="str">
        <f>CONCATENATE("1670364","")</f>
        <v>1670364</v>
      </c>
      <c r="G382" t="s">
        <v>780</v>
      </c>
      <c r="H382" t="s">
        <v>807</v>
      </c>
      <c r="I382" t="s">
        <v>808</v>
      </c>
      <c r="J382" t="str">
        <f t="shared" si="43"/>
        <v>081211</v>
      </c>
      <c r="K382" t="s">
        <v>22</v>
      </c>
      <c r="L382" t="s">
        <v>23</v>
      </c>
      <c r="M382" t="str">
        <f t="shared" si="44"/>
        <v>1</v>
      </c>
      <c r="O382" t="str">
        <f t="shared" si="38"/>
        <v>1 </v>
      </c>
      <c r="P382">
        <v>76.25</v>
      </c>
      <c r="Q382" t="s">
        <v>27</v>
      </c>
    </row>
    <row r="383" spans="1:17" ht="15">
      <c r="A383" t="s">
        <v>17</v>
      </c>
      <c r="B383" s="1">
        <v>43180</v>
      </c>
      <c r="C383" t="s">
        <v>64</v>
      </c>
      <c r="D383" t="str">
        <f>CONCATENATE("0060013148","")</f>
        <v>0060013148</v>
      </c>
      <c r="E383" t="str">
        <f>CONCATENATE("0121001001922       ","")</f>
        <v>0121001001922       </v>
      </c>
      <c r="F383" t="str">
        <f>CONCATENATE("605282304","")</f>
        <v>605282304</v>
      </c>
      <c r="G383" t="s">
        <v>780</v>
      </c>
      <c r="H383" t="s">
        <v>809</v>
      </c>
      <c r="I383" t="s">
        <v>810</v>
      </c>
      <c r="J383" t="str">
        <f t="shared" si="43"/>
        <v>081211</v>
      </c>
      <c r="K383" t="s">
        <v>22</v>
      </c>
      <c r="L383" t="s">
        <v>23</v>
      </c>
      <c r="M383" t="str">
        <f t="shared" si="44"/>
        <v>1</v>
      </c>
      <c r="O383" t="str">
        <f t="shared" si="38"/>
        <v>1 </v>
      </c>
      <c r="P383">
        <v>121.85</v>
      </c>
      <c r="Q383" t="s">
        <v>27</v>
      </c>
    </row>
    <row r="384" spans="1:17" ht="15">
      <c r="A384" t="s">
        <v>17</v>
      </c>
      <c r="B384" s="1">
        <v>43180</v>
      </c>
      <c r="C384" t="s">
        <v>64</v>
      </c>
      <c r="D384" t="str">
        <f>CONCATENATE("0060006324","")</f>
        <v>0060006324</v>
      </c>
      <c r="E384" t="str">
        <f>CONCATENATE("0121001002010       ","")</f>
        <v>0121001002010       </v>
      </c>
      <c r="F384" t="str">
        <f>CONCATENATE("2120213","")</f>
        <v>2120213</v>
      </c>
      <c r="G384" t="s">
        <v>780</v>
      </c>
      <c r="H384" t="s">
        <v>811</v>
      </c>
      <c r="I384" t="s">
        <v>812</v>
      </c>
      <c r="J384" t="str">
        <f t="shared" si="43"/>
        <v>081211</v>
      </c>
      <c r="K384" t="s">
        <v>22</v>
      </c>
      <c r="L384" t="s">
        <v>23</v>
      </c>
      <c r="M384" t="str">
        <f t="shared" si="44"/>
        <v>1</v>
      </c>
      <c r="O384" t="str">
        <f t="shared" si="38"/>
        <v>1 </v>
      </c>
      <c r="P384">
        <v>28.75</v>
      </c>
      <c r="Q384" t="s">
        <v>27</v>
      </c>
    </row>
    <row r="385" spans="1:17" ht="15">
      <c r="A385" t="s">
        <v>17</v>
      </c>
      <c r="B385" s="1">
        <v>43180</v>
      </c>
      <c r="C385" t="s">
        <v>64</v>
      </c>
      <c r="D385" t="str">
        <f>CONCATENATE("0060006329","")</f>
        <v>0060006329</v>
      </c>
      <c r="E385" t="str">
        <f>CONCATENATE("0121001002035       ","")</f>
        <v>0121001002035       </v>
      </c>
      <c r="F385" t="str">
        <f>CONCATENATE("605085089","")</f>
        <v>605085089</v>
      </c>
      <c r="G385" t="s">
        <v>780</v>
      </c>
      <c r="H385" t="s">
        <v>813</v>
      </c>
      <c r="I385" t="s">
        <v>812</v>
      </c>
      <c r="J385" t="str">
        <f t="shared" si="43"/>
        <v>081211</v>
      </c>
      <c r="K385" t="s">
        <v>22</v>
      </c>
      <c r="L385" t="s">
        <v>23</v>
      </c>
      <c r="M385" t="str">
        <f t="shared" si="44"/>
        <v>1</v>
      </c>
      <c r="O385" t="str">
        <f t="shared" si="38"/>
        <v>1 </v>
      </c>
      <c r="P385">
        <v>36.2</v>
      </c>
      <c r="Q385" t="s">
        <v>27</v>
      </c>
    </row>
    <row r="386" spans="1:17" ht="15">
      <c r="A386" t="s">
        <v>17</v>
      </c>
      <c r="B386" s="1">
        <v>43180</v>
      </c>
      <c r="C386" t="s">
        <v>64</v>
      </c>
      <c r="D386" t="str">
        <f>CONCATENATE("0060021847","")</f>
        <v>0060021847</v>
      </c>
      <c r="E386" t="str">
        <f>CONCATENATE("0121001003050       ","")</f>
        <v>0121001003050       </v>
      </c>
      <c r="F386" t="str">
        <f>CONCATENATE("607311758","")</f>
        <v>607311758</v>
      </c>
      <c r="G386" t="s">
        <v>780</v>
      </c>
      <c r="H386" t="s">
        <v>814</v>
      </c>
      <c r="I386" t="s">
        <v>806</v>
      </c>
      <c r="J386" t="str">
        <f t="shared" si="43"/>
        <v>081211</v>
      </c>
      <c r="K386" t="s">
        <v>22</v>
      </c>
      <c r="L386" t="s">
        <v>23</v>
      </c>
      <c r="M386" t="str">
        <f t="shared" si="44"/>
        <v>1</v>
      </c>
      <c r="O386" t="str">
        <f aca="true" t="shared" si="45" ref="O386:O449">CONCATENATE("1 ","")</f>
        <v>1 </v>
      </c>
      <c r="P386">
        <v>70.8</v>
      </c>
      <c r="Q386" t="s">
        <v>27</v>
      </c>
    </row>
    <row r="387" spans="1:17" ht="15">
      <c r="A387" t="s">
        <v>17</v>
      </c>
      <c r="B387" s="1">
        <v>43180</v>
      </c>
      <c r="C387" t="s">
        <v>64</v>
      </c>
      <c r="D387" t="str">
        <f>CONCATENATE("0060009177","")</f>
        <v>0060009177</v>
      </c>
      <c r="E387" t="str">
        <f>CONCATENATE("0121002000171       ","")</f>
        <v>0121002000171       </v>
      </c>
      <c r="F387" t="str">
        <f>CONCATENATE("607657382","")</f>
        <v>607657382</v>
      </c>
      <c r="G387" t="s">
        <v>815</v>
      </c>
      <c r="H387" t="s">
        <v>816</v>
      </c>
      <c r="I387" t="s">
        <v>817</v>
      </c>
      <c r="J387" t="str">
        <f t="shared" si="43"/>
        <v>081211</v>
      </c>
      <c r="K387" t="s">
        <v>22</v>
      </c>
      <c r="L387" t="s">
        <v>23</v>
      </c>
      <c r="M387" t="str">
        <f t="shared" si="44"/>
        <v>1</v>
      </c>
      <c r="O387" t="str">
        <f t="shared" si="45"/>
        <v>1 </v>
      </c>
      <c r="P387">
        <v>105.9</v>
      </c>
      <c r="Q387" t="s">
        <v>27</v>
      </c>
    </row>
    <row r="388" spans="1:17" ht="15">
      <c r="A388" t="s">
        <v>17</v>
      </c>
      <c r="B388" s="1">
        <v>43180</v>
      </c>
      <c r="C388" t="s">
        <v>64</v>
      </c>
      <c r="D388" t="str">
        <f>CONCATENATE("0060009395","")</f>
        <v>0060009395</v>
      </c>
      <c r="E388" t="str">
        <f>CONCATENATE("0121002000173       ","")</f>
        <v>0121002000173       </v>
      </c>
      <c r="F388" t="str">
        <f>CONCATENATE("605942716","")</f>
        <v>605942716</v>
      </c>
      <c r="G388" t="s">
        <v>815</v>
      </c>
      <c r="H388" t="s">
        <v>818</v>
      </c>
      <c r="I388" t="s">
        <v>819</v>
      </c>
      <c r="J388" t="str">
        <f t="shared" si="43"/>
        <v>081211</v>
      </c>
      <c r="K388" t="s">
        <v>22</v>
      </c>
      <c r="L388" t="s">
        <v>23</v>
      </c>
      <c r="M388" t="str">
        <f t="shared" si="44"/>
        <v>1</v>
      </c>
      <c r="O388" t="str">
        <f t="shared" si="45"/>
        <v>1 </v>
      </c>
      <c r="P388">
        <v>10.95</v>
      </c>
      <c r="Q388" t="s">
        <v>27</v>
      </c>
    </row>
    <row r="389" spans="1:17" ht="15">
      <c r="A389" t="s">
        <v>17</v>
      </c>
      <c r="B389" s="1">
        <v>43180</v>
      </c>
      <c r="C389" t="s">
        <v>64</v>
      </c>
      <c r="D389" t="str">
        <f>CONCATENATE("0060006364","")</f>
        <v>0060006364</v>
      </c>
      <c r="E389" t="str">
        <f>CONCATENATE("0121002000280       ","")</f>
        <v>0121002000280       </v>
      </c>
      <c r="F389" t="str">
        <f>CONCATENATE("1861949","")</f>
        <v>1861949</v>
      </c>
      <c r="G389" t="s">
        <v>815</v>
      </c>
      <c r="H389" t="s">
        <v>820</v>
      </c>
      <c r="I389" t="s">
        <v>821</v>
      </c>
      <c r="J389" t="str">
        <f t="shared" si="43"/>
        <v>081211</v>
      </c>
      <c r="K389" t="s">
        <v>22</v>
      </c>
      <c r="L389" t="s">
        <v>23</v>
      </c>
      <c r="M389" t="str">
        <f t="shared" si="44"/>
        <v>1</v>
      </c>
      <c r="O389" t="str">
        <f t="shared" si="45"/>
        <v>1 </v>
      </c>
      <c r="P389">
        <v>139.1</v>
      </c>
      <c r="Q389" t="s">
        <v>27</v>
      </c>
    </row>
    <row r="390" spans="1:17" ht="15">
      <c r="A390" t="s">
        <v>17</v>
      </c>
      <c r="B390" s="1">
        <v>43180</v>
      </c>
      <c r="C390" t="s">
        <v>64</v>
      </c>
      <c r="D390" t="str">
        <f>CONCATENATE("0060006420","")</f>
        <v>0060006420</v>
      </c>
      <c r="E390" t="str">
        <f>CONCATENATE("0121002000660       ","")</f>
        <v>0121002000660       </v>
      </c>
      <c r="F390" t="str">
        <f>CONCATENATE("2150085","")</f>
        <v>2150085</v>
      </c>
      <c r="G390" t="s">
        <v>815</v>
      </c>
      <c r="H390" t="s">
        <v>822</v>
      </c>
      <c r="I390" t="s">
        <v>518</v>
      </c>
      <c r="J390" t="str">
        <f t="shared" si="43"/>
        <v>081211</v>
      </c>
      <c r="K390" t="s">
        <v>22</v>
      </c>
      <c r="L390" t="s">
        <v>23</v>
      </c>
      <c r="M390" t="str">
        <f t="shared" si="44"/>
        <v>1</v>
      </c>
      <c r="O390" t="str">
        <f t="shared" si="45"/>
        <v>1 </v>
      </c>
      <c r="P390">
        <v>59.6</v>
      </c>
      <c r="Q390" t="s">
        <v>27</v>
      </c>
    </row>
    <row r="391" spans="1:17" ht="15">
      <c r="A391" t="s">
        <v>17</v>
      </c>
      <c r="B391" s="1">
        <v>43180</v>
      </c>
      <c r="C391" t="s">
        <v>64</v>
      </c>
      <c r="D391" t="str">
        <f>CONCATENATE("0060006447","")</f>
        <v>0060006447</v>
      </c>
      <c r="E391" t="str">
        <f>CONCATENATE("0121002000850       ","")</f>
        <v>0121002000850       </v>
      </c>
      <c r="F391" t="str">
        <f>CONCATENATE("2150090","")</f>
        <v>2150090</v>
      </c>
      <c r="G391" t="s">
        <v>815</v>
      </c>
      <c r="H391" t="s">
        <v>820</v>
      </c>
      <c r="I391" t="s">
        <v>518</v>
      </c>
      <c r="J391" t="str">
        <f t="shared" si="43"/>
        <v>081211</v>
      </c>
      <c r="K391" t="s">
        <v>22</v>
      </c>
      <c r="L391" t="s">
        <v>23</v>
      </c>
      <c r="M391" t="str">
        <f t="shared" si="44"/>
        <v>1</v>
      </c>
      <c r="O391" t="str">
        <f t="shared" si="45"/>
        <v>1 </v>
      </c>
      <c r="P391">
        <v>27.85</v>
      </c>
      <c r="Q391" t="s">
        <v>27</v>
      </c>
    </row>
    <row r="392" spans="1:17" ht="15">
      <c r="A392" t="s">
        <v>17</v>
      </c>
      <c r="B392" s="1">
        <v>43180</v>
      </c>
      <c r="C392" t="s">
        <v>64</v>
      </c>
      <c r="D392" t="str">
        <f>CONCATENATE("0060006454","")</f>
        <v>0060006454</v>
      </c>
      <c r="E392" t="str">
        <f>CONCATENATE("0121002000900       ","")</f>
        <v>0121002000900       </v>
      </c>
      <c r="F392" t="str">
        <f>CONCATENATE("1862041","")</f>
        <v>1862041</v>
      </c>
      <c r="G392" t="s">
        <v>780</v>
      </c>
      <c r="H392" t="s">
        <v>823</v>
      </c>
      <c r="I392" t="s">
        <v>518</v>
      </c>
      <c r="J392" t="str">
        <f t="shared" si="43"/>
        <v>081211</v>
      </c>
      <c r="K392" t="s">
        <v>22</v>
      </c>
      <c r="L392" t="s">
        <v>23</v>
      </c>
      <c r="M392" t="str">
        <f t="shared" si="44"/>
        <v>1</v>
      </c>
      <c r="O392" t="str">
        <f t="shared" si="45"/>
        <v>1 </v>
      </c>
      <c r="P392">
        <v>244.5</v>
      </c>
      <c r="Q392" t="s">
        <v>27</v>
      </c>
    </row>
    <row r="393" spans="1:17" ht="15">
      <c r="A393" t="s">
        <v>17</v>
      </c>
      <c r="B393" s="1">
        <v>43180</v>
      </c>
      <c r="C393" t="s">
        <v>64</v>
      </c>
      <c r="D393" t="str">
        <f>CONCATENATE("0060022073","")</f>
        <v>0060022073</v>
      </c>
      <c r="E393" t="str">
        <f>CONCATENATE("0121002000912       ","")</f>
        <v>0121002000912       </v>
      </c>
      <c r="F393" t="str">
        <f>CONCATENATE("607310490","")</f>
        <v>607310490</v>
      </c>
      <c r="G393" t="s">
        <v>780</v>
      </c>
      <c r="H393" t="s">
        <v>824</v>
      </c>
      <c r="I393" t="s">
        <v>825</v>
      </c>
      <c r="J393" t="str">
        <f t="shared" si="43"/>
        <v>081211</v>
      </c>
      <c r="K393" t="s">
        <v>22</v>
      </c>
      <c r="L393" t="s">
        <v>23</v>
      </c>
      <c r="M393" t="str">
        <f t="shared" si="44"/>
        <v>1</v>
      </c>
      <c r="N393" t="str">
        <f>CONCATENATE("96566192","")</f>
        <v>96566192</v>
      </c>
      <c r="O393" t="str">
        <f t="shared" si="45"/>
        <v>1 </v>
      </c>
      <c r="P393">
        <v>61.3</v>
      </c>
      <c r="Q393" t="s">
        <v>27</v>
      </c>
    </row>
    <row r="394" spans="1:17" ht="15">
      <c r="A394" t="s">
        <v>17</v>
      </c>
      <c r="B394" s="1">
        <v>43180</v>
      </c>
      <c r="C394" t="s">
        <v>64</v>
      </c>
      <c r="D394" t="str">
        <f>CONCATENATE("0060011191","")</f>
        <v>0060011191</v>
      </c>
      <c r="E394" t="str">
        <f>CONCATENATE("0121002001009       ","")</f>
        <v>0121002001009       </v>
      </c>
      <c r="F394" t="str">
        <f>CONCATENATE("606802218","")</f>
        <v>606802218</v>
      </c>
      <c r="G394" t="s">
        <v>815</v>
      </c>
      <c r="H394" t="s">
        <v>826</v>
      </c>
      <c r="I394" t="s">
        <v>827</v>
      </c>
      <c r="J394" t="str">
        <f t="shared" si="43"/>
        <v>081211</v>
      </c>
      <c r="K394" t="s">
        <v>22</v>
      </c>
      <c r="L394" t="s">
        <v>23</v>
      </c>
      <c r="M394" t="str">
        <f t="shared" si="44"/>
        <v>1</v>
      </c>
      <c r="O394" t="str">
        <f t="shared" si="45"/>
        <v>1 </v>
      </c>
      <c r="P394">
        <v>34.75</v>
      </c>
      <c r="Q394" t="s">
        <v>27</v>
      </c>
    </row>
    <row r="395" spans="1:17" ht="15">
      <c r="A395" t="s">
        <v>17</v>
      </c>
      <c r="B395" s="1">
        <v>43180</v>
      </c>
      <c r="C395" t="s">
        <v>64</v>
      </c>
      <c r="D395" t="str">
        <f>CONCATENATE("0060021460","")</f>
        <v>0060021460</v>
      </c>
      <c r="E395" t="str">
        <f>CONCATENATE("0121002001056       ","")</f>
        <v>0121002001056       </v>
      </c>
      <c r="F395" t="str">
        <f>CONCATENATE("606902330","")</f>
        <v>606902330</v>
      </c>
      <c r="G395" t="s">
        <v>815</v>
      </c>
      <c r="H395" t="s">
        <v>828</v>
      </c>
      <c r="I395" t="s">
        <v>829</v>
      </c>
      <c r="J395" t="str">
        <f t="shared" si="43"/>
        <v>081211</v>
      </c>
      <c r="K395" t="s">
        <v>22</v>
      </c>
      <c r="L395" t="s">
        <v>23</v>
      </c>
      <c r="M395" t="str">
        <f t="shared" si="44"/>
        <v>1</v>
      </c>
      <c r="N395" t="str">
        <f>CONCATENATE("964397233","")</f>
        <v>964397233</v>
      </c>
      <c r="O395" t="str">
        <f t="shared" si="45"/>
        <v>1 </v>
      </c>
      <c r="P395">
        <v>16.75</v>
      </c>
      <c r="Q395" t="s">
        <v>27</v>
      </c>
    </row>
    <row r="396" spans="1:17" ht="15">
      <c r="A396" t="s">
        <v>17</v>
      </c>
      <c r="B396" s="1">
        <v>43180</v>
      </c>
      <c r="C396" t="s">
        <v>64</v>
      </c>
      <c r="D396" t="str">
        <f>CONCATENATE("0060006537","")</f>
        <v>0060006537</v>
      </c>
      <c r="E396" t="str">
        <f>CONCATENATE("0121002001400       ","")</f>
        <v>0121002001400       </v>
      </c>
      <c r="F396" t="str">
        <f>CONCATENATE("2127849","")</f>
        <v>2127849</v>
      </c>
      <c r="G396" t="s">
        <v>815</v>
      </c>
      <c r="H396" t="s">
        <v>830</v>
      </c>
      <c r="I396" t="s">
        <v>831</v>
      </c>
      <c r="J396" t="str">
        <f t="shared" si="43"/>
        <v>081211</v>
      </c>
      <c r="K396" t="s">
        <v>22</v>
      </c>
      <c r="L396" t="s">
        <v>23</v>
      </c>
      <c r="M396" t="str">
        <f t="shared" si="44"/>
        <v>1</v>
      </c>
      <c r="O396" t="str">
        <f t="shared" si="45"/>
        <v>1 </v>
      </c>
      <c r="P396">
        <v>9.15</v>
      </c>
      <c r="Q396" t="s">
        <v>27</v>
      </c>
    </row>
    <row r="397" spans="1:17" ht="15">
      <c r="A397" t="s">
        <v>17</v>
      </c>
      <c r="B397" s="1">
        <v>43180</v>
      </c>
      <c r="C397" t="s">
        <v>64</v>
      </c>
      <c r="D397" t="str">
        <f>CONCATENATE("0060021922","")</f>
        <v>0060021922</v>
      </c>
      <c r="E397" t="str">
        <f>CONCATENATE("0121002001658       ","")</f>
        <v>0121002001658       </v>
      </c>
      <c r="F397" t="str">
        <f>CONCATENATE("607301468","")</f>
        <v>607301468</v>
      </c>
      <c r="G397" t="s">
        <v>815</v>
      </c>
      <c r="H397" t="s">
        <v>832</v>
      </c>
      <c r="I397" t="s">
        <v>833</v>
      </c>
      <c r="J397" t="str">
        <f t="shared" si="43"/>
        <v>081211</v>
      </c>
      <c r="K397" t="s">
        <v>22</v>
      </c>
      <c r="L397" t="s">
        <v>23</v>
      </c>
      <c r="M397" t="str">
        <f t="shared" si="44"/>
        <v>1</v>
      </c>
      <c r="N397" t="str">
        <f>CONCATENATE("952070118","")</f>
        <v>952070118</v>
      </c>
      <c r="O397" t="str">
        <f t="shared" si="45"/>
        <v>1 </v>
      </c>
      <c r="P397">
        <v>82.45</v>
      </c>
      <c r="Q397" t="s">
        <v>27</v>
      </c>
    </row>
    <row r="398" spans="1:17" ht="15">
      <c r="A398" t="s">
        <v>17</v>
      </c>
      <c r="B398" s="1">
        <v>43180</v>
      </c>
      <c r="C398" t="s">
        <v>64</v>
      </c>
      <c r="D398" t="str">
        <f>CONCATENATE("0060010228","")</f>
        <v>0060010228</v>
      </c>
      <c r="E398" t="str">
        <f>CONCATENATE("0121002001707       ","")</f>
        <v>0121002001707       </v>
      </c>
      <c r="F398" t="str">
        <f>CONCATENATE("1865795","")</f>
        <v>1865795</v>
      </c>
      <c r="G398" t="s">
        <v>815</v>
      </c>
      <c r="H398" t="s">
        <v>834</v>
      </c>
      <c r="I398" t="s">
        <v>835</v>
      </c>
      <c r="J398" t="str">
        <f t="shared" si="43"/>
        <v>081211</v>
      </c>
      <c r="K398" t="s">
        <v>22</v>
      </c>
      <c r="L398" t="s">
        <v>23</v>
      </c>
      <c r="M398" t="str">
        <f t="shared" si="44"/>
        <v>1</v>
      </c>
      <c r="O398" t="str">
        <f t="shared" si="45"/>
        <v>1 </v>
      </c>
      <c r="P398">
        <v>40.35</v>
      </c>
      <c r="Q398" t="s">
        <v>27</v>
      </c>
    </row>
    <row r="399" spans="1:17" ht="15">
      <c r="A399" t="s">
        <v>17</v>
      </c>
      <c r="B399" s="1">
        <v>43180</v>
      </c>
      <c r="C399" t="s">
        <v>64</v>
      </c>
      <c r="D399" t="str">
        <f>CONCATENATE("0060006587","")</f>
        <v>0060006587</v>
      </c>
      <c r="E399" t="str">
        <f>CONCATENATE("0121002001710       ","")</f>
        <v>0121002001710       </v>
      </c>
      <c r="F399" t="str">
        <f>CONCATENATE("2124054","")</f>
        <v>2124054</v>
      </c>
      <c r="G399" t="s">
        <v>815</v>
      </c>
      <c r="H399" t="s">
        <v>836</v>
      </c>
      <c r="I399" t="s">
        <v>837</v>
      </c>
      <c r="J399" t="str">
        <f t="shared" si="43"/>
        <v>081211</v>
      </c>
      <c r="K399" t="s">
        <v>22</v>
      </c>
      <c r="L399" t="s">
        <v>23</v>
      </c>
      <c r="M399" t="str">
        <f t="shared" si="44"/>
        <v>1</v>
      </c>
      <c r="O399" t="str">
        <f t="shared" si="45"/>
        <v>1 </v>
      </c>
      <c r="P399">
        <v>91.8</v>
      </c>
      <c r="Q399" t="s">
        <v>27</v>
      </c>
    </row>
    <row r="400" spans="1:17" ht="15">
      <c r="A400" t="s">
        <v>17</v>
      </c>
      <c r="B400" s="1">
        <v>43180</v>
      </c>
      <c r="C400" t="s">
        <v>64</v>
      </c>
      <c r="D400" t="str">
        <f>CONCATENATE("0060018273","")</f>
        <v>0060018273</v>
      </c>
      <c r="E400" t="str">
        <f>CONCATENATE("0121002001899       ","")</f>
        <v>0121002001899       </v>
      </c>
      <c r="F400" t="str">
        <f>CONCATENATE("2184553","")</f>
        <v>2184553</v>
      </c>
      <c r="G400" t="s">
        <v>815</v>
      </c>
      <c r="H400" t="s">
        <v>838</v>
      </c>
      <c r="I400" t="s">
        <v>839</v>
      </c>
      <c r="J400" t="str">
        <f t="shared" si="43"/>
        <v>081211</v>
      </c>
      <c r="K400" t="s">
        <v>22</v>
      </c>
      <c r="L400" t="s">
        <v>23</v>
      </c>
      <c r="M400" t="str">
        <f t="shared" si="44"/>
        <v>1</v>
      </c>
      <c r="O400" t="str">
        <f t="shared" si="45"/>
        <v>1 </v>
      </c>
      <c r="P400">
        <v>43.5</v>
      </c>
      <c r="Q400" t="s">
        <v>27</v>
      </c>
    </row>
    <row r="401" spans="1:17" ht="15">
      <c r="A401" t="s">
        <v>17</v>
      </c>
      <c r="B401" s="1">
        <v>43180</v>
      </c>
      <c r="C401" t="s">
        <v>64</v>
      </c>
      <c r="D401" t="str">
        <f>CONCATENATE("0060006613","")</f>
        <v>0060006613</v>
      </c>
      <c r="E401" t="str">
        <f>CONCATENATE("0121002001920       ","")</f>
        <v>0121002001920       </v>
      </c>
      <c r="F401" t="str">
        <f>CONCATENATE("2125316","")</f>
        <v>2125316</v>
      </c>
      <c r="G401" t="s">
        <v>815</v>
      </c>
      <c r="H401" t="s">
        <v>840</v>
      </c>
      <c r="I401" t="s">
        <v>514</v>
      </c>
      <c r="J401" t="str">
        <f t="shared" si="43"/>
        <v>081211</v>
      </c>
      <c r="K401" t="s">
        <v>22</v>
      </c>
      <c r="L401" t="s">
        <v>23</v>
      </c>
      <c r="M401" t="str">
        <f t="shared" si="44"/>
        <v>1</v>
      </c>
      <c r="O401" t="str">
        <f t="shared" si="45"/>
        <v>1 </v>
      </c>
      <c r="P401">
        <v>13.25</v>
      </c>
      <c r="Q401" t="s">
        <v>27</v>
      </c>
    </row>
    <row r="402" spans="1:17" ht="15">
      <c r="A402" t="s">
        <v>17</v>
      </c>
      <c r="B402" s="1">
        <v>43180</v>
      </c>
      <c r="C402" t="s">
        <v>64</v>
      </c>
      <c r="D402" t="str">
        <f>CONCATENATE("0060006061","")</f>
        <v>0060006061</v>
      </c>
      <c r="E402" t="str">
        <f>CONCATENATE("0121003000125       ","")</f>
        <v>0121003000125       </v>
      </c>
      <c r="F402" t="str">
        <f>CONCATENATE("1942810","")</f>
        <v>1942810</v>
      </c>
      <c r="G402" t="s">
        <v>841</v>
      </c>
      <c r="H402" t="s">
        <v>842</v>
      </c>
      <c r="I402" t="s">
        <v>843</v>
      </c>
      <c r="J402" t="str">
        <f t="shared" si="43"/>
        <v>081211</v>
      </c>
      <c r="K402" t="s">
        <v>22</v>
      </c>
      <c r="L402" t="s">
        <v>23</v>
      </c>
      <c r="M402" t="str">
        <f t="shared" si="44"/>
        <v>1</v>
      </c>
      <c r="O402" t="str">
        <f t="shared" si="45"/>
        <v>1 </v>
      </c>
      <c r="P402">
        <v>99.3</v>
      </c>
      <c r="Q402" t="s">
        <v>27</v>
      </c>
    </row>
    <row r="403" spans="1:17" ht="15">
      <c r="A403" t="s">
        <v>17</v>
      </c>
      <c r="B403" s="1">
        <v>43180</v>
      </c>
      <c r="C403" t="s">
        <v>64</v>
      </c>
      <c r="D403" t="str">
        <f>CONCATENATE("0060006663","")</f>
        <v>0060006663</v>
      </c>
      <c r="E403" t="str">
        <f>CONCATENATE("0121003000205       ","")</f>
        <v>0121003000205       </v>
      </c>
      <c r="F403" t="str">
        <f>CONCATENATE("2188063","")</f>
        <v>2188063</v>
      </c>
      <c r="G403" t="s">
        <v>841</v>
      </c>
      <c r="H403" t="s">
        <v>844</v>
      </c>
      <c r="I403" t="s">
        <v>845</v>
      </c>
      <c r="J403" t="str">
        <f t="shared" si="43"/>
        <v>081211</v>
      </c>
      <c r="K403" t="s">
        <v>22</v>
      </c>
      <c r="L403" t="s">
        <v>23</v>
      </c>
      <c r="M403" t="str">
        <f t="shared" si="44"/>
        <v>1</v>
      </c>
      <c r="O403" t="str">
        <f t="shared" si="45"/>
        <v>1 </v>
      </c>
      <c r="P403">
        <v>304.5</v>
      </c>
      <c r="Q403" t="s">
        <v>27</v>
      </c>
    </row>
    <row r="404" spans="1:17" ht="15">
      <c r="A404" t="s">
        <v>17</v>
      </c>
      <c r="B404" s="1">
        <v>43180</v>
      </c>
      <c r="C404" t="s">
        <v>64</v>
      </c>
      <c r="D404" t="str">
        <f>CONCATENATE("0060012907","")</f>
        <v>0060012907</v>
      </c>
      <c r="E404" t="str">
        <f>CONCATENATE("0121003000208       ","")</f>
        <v>0121003000208       </v>
      </c>
      <c r="F404" t="str">
        <f>CONCATENATE("0606846417","")</f>
        <v>0606846417</v>
      </c>
      <c r="G404" t="s">
        <v>846</v>
      </c>
      <c r="H404" t="s">
        <v>847</v>
      </c>
      <c r="I404" t="s">
        <v>848</v>
      </c>
      <c r="J404" t="str">
        <f>CONCATENATE("081102","")</f>
        <v>081102</v>
      </c>
      <c r="K404" t="s">
        <v>22</v>
      </c>
      <c r="L404" t="s">
        <v>23</v>
      </c>
      <c r="M404" t="str">
        <f t="shared" si="44"/>
        <v>1</v>
      </c>
      <c r="O404" t="str">
        <f t="shared" si="45"/>
        <v>1 </v>
      </c>
      <c r="P404">
        <v>229.1</v>
      </c>
      <c r="Q404" t="s">
        <v>27</v>
      </c>
    </row>
    <row r="405" spans="1:17" ht="15">
      <c r="A405" t="s">
        <v>17</v>
      </c>
      <c r="B405" s="1">
        <v>43180</v>
      </c>
      <c r="C405" t="s">
        <v>64</v>
      </c>
      <c r="D405" t="str">
        <f>CONCATENATE("0060026481","")</f>
        <v>0060026481</v>
      </c>
      <c r="E405" t="str">
        <f>CONCATENATE("0121003000217       ","")</f>
        <v>0121003000217       </v>
      </c>
      <c r="F405" t="str">
        <f>CONCATENATE("608050909","")</f>
        <v>608050909</v>
      </c>
      <c r="G405" t="s">
        <v>841</v>
      </c>
      <c r="H405" t="s">
        <v>849</v>
      </c>
      <c r="I405" t="s">
        <v>850</v>
      </c>
      <c r="J405" t="str">
        <f aca="true" t="shared" si="46" ref="J405:J418">CONCATENATE("081211","")</f>
        <v>081211</v>
      </c>
      <c r="K405" t="s">
        <v>22</v>
      </c>
      <c r="L405" t="s">
        <v>23</v>
      </c>
      <c r="M405" t="str">
        <f>CONCATENATE("3","")</f>
        <v>3</v>
      </c>
      <c r="N405" t="str">
        <f>CONCATENATE("966742653","")</f>
        <v>966742653</v>
      </c>
      <c r="O405" t="str">
        <f t="shared" si="45"/>
        <v>1 </v>
      </c>
      <c r="P405">
        <v>204.6</v>
      </c>
      <c r="Q405" t="s">
        <v>24</v>
      </c>
    </row>
    <row r="406" spans="1:17" ht="15">
      <c r="A406" t="s">
        <v>17</v>
      </c>
      <c r="B406" s="1">
        <v>43180</v>
      </c>
      <c r="C406" t="s">
        <v>64</v>
      </c>
      <c r="D406" t="str">
        <f>CONCATENATE("0060015703","")</f>
        <v>0060015703</v>
      </c>
      <c r="E406" t="str">
        <f>CONCATENATE("0121003000232       ","")</f>
        <v>0121003000232       </v>
      </c>
      <c r="F406" t="str">
        <f>CONCATENATE("1671432","")</f>
        <v>1671432</v>
      </c>
      <c r="G406" t="s">
        <v>841</v>
      </c>
      <c r="H406" t="s">
        <v>851</v>
      </c>
      <c r="I406" t="s">
        <v>852</v>
      </c>
      <c r="J406" t="str">
        <f t="shared" si="46"/>
        <v>081211</v>
      </c>
      <c r="K406" t="s">
        <v>22</v>
      </c>
      <c r="L406" t="s">
        <v>23</v>
      </c>
      <c r="M406" t="str">
        <f>CONCATENATE("1","")</f>
        <v>1</v>
      </c>
      <c r="O406" t="str">
        <f t="shared" si="45"/>
        <v>1 </v>
      </c>
      <c r="P406">
        <v>87</v>
      </c>
      <c r="Q406" t="s">
        <v>27</v>
      </c>
    </row>
    <row r="407" spans="1:17" ht="15">
      <c r="A407" t="s">
        <v>17</v>
      </c>
      <c r="B407" s="1">
        <v>43180</v>
      </c>
      <c r="C407" t="s">
        <v>64</v>
      </c>
      <c r="D407" t="str">
        <f>CONCATENATE("0060010143","")</f>
        <v>0060010143</v>
      </c>
      <c r="E407" t="str">
        <f>CONCATENATE("0121003000498       ","")</f>
        <v>0121003000498       </v>
      </c>
      <c r="F407" t="str">
        <f>CONCATENATE("605746937","")</f>
        <v>605746937</v>
      </c>
      <c r="G407" t="s">
        <v>841</v>
      </c>
      <c r="H407" t="s">
        <v>853</v>
      </c>
      <c r="I407" t="s">
        <v>854</v>
      </c>
      <c r="J407" t="str">
        <f t="shared" si="46"/>
        <v>081211</v>
      </c>
      <c r="K407" t="s">
        <v>22</v>
      </c>
      <c r="L407" t="s">
        <v>23</v>
      </c>
      <c r="M407" t="str">
        <f>CONCATENATE("1","")</f>
        <v>1</v>
      </c>
      <c r="O407" t="str">
        <f t="shared" si="45"/>
        <v>1 </v>
      </c>
      <c r="P407">
        <v>232.4</v>
      </c>
      <c r="Q407" t="s">
        <v>27</v>
      </c>
    </row>
    <row r="408" spans="1:17" ht="15">
      <c r="A408" t="s">
        <v>17</v>
      </c>
      <c r="B408" s="1">
        <v>43180</v>
      </c>
      <c r="C408" t="s">
        <v>64</v>
      </c>
      <c r="D408" t="str">
        <f>CONCATENATE("0060010179","")</f>
        <v>0060010179</v>
      </c>
      <c r="E408" t="str">
        <f>CONCATENATE("0121003001515       ","")</f>
        <v>0121003001515       </v>
      </c>
      <c r="F408" t="str">
        <f>CONCATENATE("1942807","")</f>
        <v>1942807</v>
      </c>
      <c r="G408" t="s">
        <v>841</v>
      </c>
      <c r="H408" t="s">
        <v>855</v>
      </c>
      <c r="I408" t="s">
        <v>856</v>
      </c>
      <c r="J408" t="str">
        <f t="shared" si="46"/>
        <v>081211</v>
      </c>
      <c r="K408" t="s">
        <v>22</v>
      </c>
      <c r="L408" t="s">
        <v>23</v>
      </c>
      <c r="M408" t="str">
        <f>CONCATENATE("1","")</f>
        <v>1</v>
      </c>
      <c r="O408" t="str">
        <f t="shared" si="45"/>
        <v>1 </v>
      </c>
      <c r="P408">
        <v>151.6</v>
      </c>
      <c r="Q408" t="s">
        <v>27</v>
      </c>
    </row>
    <row r="409" spans="1:17" ht="15">
      <c r="A409" t="s">
        <v>17</v>
      </c>
      <c r="B409" s="1">
        <v>43180</v>
      </c>
      <c r="C409" t="s">
        <v>64</v>
      </c>
      <c r="D409" t="str">
        <f>CONCATENATE("0060025712","")</f>
        <v>0060025712</v>
      </c>
      <c r="E409" t="str">
        <f>CONCATENATE("0121003001905       ","")</f>
        <v>0121003001905       </v>
      </c>
      <c r="F409" t="str">
        <f>CONCATENATE("607639496","")</f>
        <v>607639496</v>
      </c>
      <c r="G409" t="s">
        <v>841</v>
      </c>
      <c r="H409" t="s">
        <v>857</v>
      </c>
      <c r="I409" t="s">
        <v>858</v>
      </c>
      <c r="J409" t="str">
        <f t="shared" si="46"/>
        <v>081211</v>
      </c>
      <c r="K409" t="s">
        <v>22</v>
      </c>
      <c r="L409" t="s">
        <v>23</v>
      </c>
      <c r="M409" t="str">
        <f>CONCATENATE("3","")</f>
        <v>3</v>
      </c>
      <c r="N409" t="str">
        <f>CONCATENATE("984748710","")</f>
        <v>984748710</v>
      </c>
      <c r="O409" t="str">
        <f t="shared" si="45"/>
        <v>1 </v>
      </c>
      <c r="P409">
        <v>12.85</v>
      </c>
      <c r="Q409" t="s">
        <v>24</v>
      </c>
    </row>
    <row r="410" spans="1:17" ht="15">
      <c r="A410" t="s">
        <v>17</v>
      </c>
      <c r="B410" s="1">
        <v>43180</v>
      </c>
      <c r="C410" t="s">
        <v>64</v>
      </c>
      <c r="D410" t="str">
        <f>CONCATENATE("0060010153","")</f>
        <v>0060010153</v>
      </c>
      <c r="E410" t="str">
        <f>CONCATENATE("0121003002200       ","")</f>
        <v>0121003002200       </v>
      </c>
      <c r="F410" t="str">
        <f>CONCATENATE("0A210474138","")</f>
        <v>0A210474138</v>
      </c>
      <c r="G410" t="s">
        <v>841</v>
      </c>
      <c r="H410" t="s">
        <v>859</v>
      </c>
      <c r="I410" t="s">
        <v>856</v>
      </c>
      <c r="J410" t="str">
        <f t="shared" si="46"/>
        <v>081211</v>
      </c>
      <c r="K410" t="s">
        <v>22</v>
      </c>
      <c r="L410" t="s">
        <v>23</v>
      </c>
      <c r="M410" t="str">
        <f>CONCATENATE("1","")</f>
        <v>1</v>
      </c>
      <c r="O410" t="str">
        <f t="shared" si="45"/>
        <v>1 </v>
      </c>
      <c r="P410">
        <v>137.7</v>
      </c>
      <c r="Q410" t="s">
        <v>27</v>
      </c>
    </row>
    <row r="411" spans="1:17" ht="15">
      <c r="A411" t="s">
        <v>17</v>
      </c>
      <c r="B411" s="1">
        <v>43180</v>
      </c>
      <c r="C411" t="s">
        <v>64</v>
      </c>
      <c r="D411" t="str">
        <f>CONCATENATE("0060018171","")</f>
        <v>0060018171</v>
      </c>
      <c r="E411" t="str">
        <f>CONCATENATE("0121003002470       ","")</f>
        <v>0121003002470       </v>
      </c>
      <c r="F411" t="str">
        <f>CONCATENATE("507028644","")</f>
        <v>507028644</v>
      </c>
      <c r="G411" t="s">
        <v>841</v>
      </c>
      <c r="H411" t="s">
        <v>860</v>
      </c>
      <c r="I411" t="s">
        <v>861</v>
      </c>
      <c r="J411" t="str">
        <f t="shared" si="46"/>
        <v>081211</v>
      </c>
      <c r="K411" t="s">
        <v>22</v>
      </c>
      <c r="L411" t="s">
        <v>23</v>
      </c>
      <c r="M411" t="str">
        <f>CONCATENATE("3","")</f>
        <v>3</v>
      </c>
      <c r="O411" t="str">
        <f t="shared" si="45"/>
        <v>1 </v>
      </c>
      <c r="P411">
        <v>199.05</v>
      </c>
      <c r="Q411" t="s">
        <v>24</v>
      </c>
    </row>
    <row r="412" spans="1:17" ht="15">
      <c r="A412" t="s">
        <v>17</v>
      </c>
      <c r="B412" s="1">
        <v>43180</v>
      </c>
      <c r="C412" t="s">
        <v>64</v>
      </c>
      <c r="D412" t="str">
        <f>CONCATENATE("0060011098","")</f>
        <v>0060011098</v>
      </c>
      <c r="E412" t="str">
        <f>CONCATENATE("0121003002670       ","")</f>
        <v>0121003002670       </v>
      </c>
      <c r="F412" t="str">
        <f>CONCATENATE("607090403","")</f>
        <v>607090403</v>
      </c>
      <c r="G412" t="s">
        <v>862</v>
      </c>
      <c r="H412" t="s">
        <v>863</v>
      </c>
      <c r="I412" t="s">
        <v>864</v>
      </c>
      <c r="J412" t="str">
        <f t="shared" si="46"/>
        <v>081211</v>
      </c>
      <c r="K412" t="s">
        <v>22</v>
      </c>
      <c r="L412" t="s">
        <v>23</v>
      </c>
      <c r="M412" t="str">
        <f aca="true" t="shared" si="47" ref="M412:M457">CONCATENATE("1","")</f>
        <v>1</v>
      </c>
      <c r="O412" t="str">
        <f t="shared" si="45"/>
        <v>1 </v>
      </c>
      <c r="P412">
        <v>53.4</v>
      </c>
      <c r="Q412" t="s">
        <v>27</v>
      </c>
    </row>
    <row r="413" spans="1:17" ht="15">
      <c r="A413" t="s">
        <v>17</v>
      </c>
      <c r="B413" s="1">
        <v>43180</v>
      </c>
      <c r="C413" t="s">
        <v>64</v>
      </c>
      <c r="D413" t="str">
        <f>CONCATENATE("0060018814","")</f>
        <v>0060018814</v>
      </c>
      <c r="E413" t="str">
        <f>CONCATENATE("0121003003220       ","")</f>
        <v>0121003003220       </v>
      </c>
      <c r="F413" t="str">
        <f>CONCATENATE("606597042","")</f>
        <v>606597042</v>
      </c>
      <c r="G413" t="s">
        <v>841</v>
      </c>
      <c r="H413" t="s">
        <v>865</v>
      </c>
      <c r="I413" t="s">
        <v>866</v>
      </c>
      <c r="J413" t="str">
        <f t="shared" si="46"/>
        <v>081211</v>
      </c>
      <c r="K413" t="s">
        <v>22</v>
      </c>
      <c r="L413" t="s">
        <v>23</v>
      </c>
      <c r="M413" t="str">
        <f t="shared" si="47"/>
        <v>1</v>
      </c>
      <c r="O413" t="str">
        <f t="shared" si="45"/>
        <v>1 </v>
      </c>
      <c r="P413">
        <v>70.95</v>
      </c>
      <c r="Q413" t="s">
        <v>27</v>
      </c>
    </row>
    <row r="414" spans="1:17" ht="15">
      <c r="A414" t="s">
        <v>17</v>
      </c>
      <c r="B414" s="1">
        <v>43180</v>
      </c>
      <c r="C414" t="s">
        <v>64</v>
      </c>
      <c r="D414" t="str">
        <f>CONCATENATE("0060014976","")</f>
        <v>0060014976</v>
      </c>
      <c r="E414" t="str">
        <f>CONCATENATE("0121004000130       ","")</f>
        <v>0121004000130       </v>
      </c>
      <c r="F414" t="str">
        <f>CONCATENATE("606029862","")</f>
        <v>606029862</v>
      </c>
      <c r="G414" t="s">
        <v>716</v>
      </c>
      <c r="H414" t="s">
        <v>867</v>
      </c>
      <c r="I414" t="s">
        <v>868</v>
      </c>
      <c r="J414" t="str">
        <f t="shared" si="46"/>
        <v>081211</v>
      </c>
      <c r="K414" t="s">
        <v>22</v>
      </c>
      <c r="L414" t="s">
        <v>23</v>
      </c>
      <c r="M414" t="str">
        <f t="shared" si="47"/>
        <v>1</v>
      </c>
      <c r="O414" t="str">
        <f t="shared" si="45"/>
        <v>1 </v>
      </c>
      <c r="P414">
        <v>10.25</v>
      </c>
      <c r="Q414" t="s">
        <v>27</v>
      </c>
    </row>
    <row r="415" spans="1:17" ht="15">
      <c r="A415" t="s">
        <v>17</v>
      </c>
      <c r="B415" s="1">
        <v>43180</v>
      </c>
      <c r="C415" t="s">
        <v>64</v>
      </c>
      <c r="D415" t="str">
        <f>CONCATENATE("0060016604","")</f>
        <v>0060016604</v>
      </c>
      <c r="E415" t="str">
        <f>CONCATENATE("0121005000008       ","")</f>
        <v>0121005000008       </v>
      </c>
      <c r="F415" t="str">
        <f>CONCATENATE("1938489","")</f>
        <v>1938489</v>
      </c>
      <c r="G415" t="s">
        <v>869</v>
      </c>
      <c r="H415" t="s">
        <v>870</v>
      </c>
      <c r="I415" t="s">
        <v>871</v>
      </c>
      <c r="J415" t="str">
        <f t="shared" si="46"/>
        <v>081211</v>
      </c>
      <c r="K415" t="s">
        <v>22</v>
      </c>
      <c r="L415" t="s">
        <v>23</v>
      </c>
      <c r="M415" t="str">
        <f t="shared" si="47"/>
        <v>1</v>
      </c>
      <c r="O415" t="str">
        <f t="shared" si="45"/>
        <v>1 </v>
      </c>
      <c r="P415">
        <v>49.5</v>
      </c>
      <c r="Q415" t="s">
        <v>27</v>
      </c>
    </row>
    <row r="416" spans="1:17" ht="15">
      <c r="A416" t="s">
        <v>17</v>
      </c>
      <c r="B416" s="1">
        <v>43180</v>
      </c>
      <c r="C416" t="s">
        <v>64</v>
      </c>
      <c r="D416" t="str">
        <f>CONCATENATE("0060010002","")</f>
        <v>0060010002</v>
      </c>
      <c r="E416" t="str">
        <f>CONCATENATE("0121005000010       ","")</f>
        <v>0121005000010       </v>
      </c>
      <c r="F416" t="str">
        <f>CONCATENATE("606755900","")</f>
        <v>606755900</v>
      </c>
      <c r="G416" t="s">
        <v>869</v>
      </c>
      <c r="H416" t="s">
        <v>872</v>
      </c>
      <c r="I416" t="s">
        <v>873</v>
      </c>
      <c r="J416" t="str">
        <f t="shared" si="46"/>
        <v>081211</v>
      </c>
      <c r="K416" t="s">
        <v>22</v>
      </c>
      <c r="L416" t="s">
        <v>23</v>
      </c>
      <c r="M416" t="str">
        <f t="shared" si="47"/>
        <v>1</v>
      </c>
      <c r="O416" t="str">
        <f t="shared" si="45"/>
        <v>1 </v>
      </c>
      <c r="P416">
        <v>10.65</v>
      </c>
      <c r="Q416" t="s">
        <v>27</v>
      </c>
    </row>
    <row r="417" spans="1:17" ht="15">
      <c r="A417" t="s">
        <v>17</v>
      </c>
      <c r="B417" s="1">
        <v>43180</v>
      </c>
      <c r="C417" t="s">
        <v>64</v>
      </c>
      <c r="D417" t="str">
        <f>CONCATENATE("0060022102","")</f>
        <v>0060022102</v>
      </c>
      <c r="E417" t="str">
        <f>CONCATENATE("0121005002450       ","")</f>
        <v>0121005002450       </v>
      </c>
      <c r="F417" t="str">
        <f>CONCATENATE("607295409","")</f>
        <v>607295409</v>
      </c>
      <c r="G417" t="s">
        <v>869</v>
      </c>
      <c r="H417" t="s">
        <v>874</v>
      </c>
      <c r="I417" t="s">
        <v>875</v>
      </c>
      <c r="J417" t="str">
        <f t="shared" si="46"/>
        <v>081211</v>
      </c>
      <c r="K417" t="s">
        <v>22</v>
      </c>
      <c r="L417" t="s">
        <v>23</v>
      </c>
      <c r="M417" t="str">
        <f t="shared" si="47"/>
        <v>1</v>
      </c>
      <c r="O417" t="str">
        <f t="shared" si="45"/>
        <v>1 </v>
      </c>
      <c r="P417">
        <v>10.75</v>
      </c>
      <c r="Q417" t="s">
        <v>27</v>
      </c>
    </row>
    <row r="418" spans="1:17" ht="15">
      <c r="A418" t="s">
        <v>17</v>
      </c>
      <c r="B418" s="1">
        <v>43180</v>
      </c>
      <c r="C418" t="s">
        <v>64</v>
      </c>
      <c r="D418" t="str">
        <f>CONCATENATE("0060022106","")</f>
        <v>0060022106</v>
      </c>
      <c r="E418" t="str">
        <f>CONCATENATE("0121005002510       ","")</f>
        <v>0121005002510       </v>
      </c>
      <c r="F418" t="str">
        <f>CONCATENATE("607313598","")</f>
        <v>607313598</v>
      </c>
      <c r="G418" t="s">
        <v>869</v>
      </c>
      <c r="H418" t="s">
        <v>876</v>
      </c>
      <c r="I418" t="s">
        <v>877</v>
      </c>
      <c r="J418" t="str">
        <f t="shared" si="46"/>
        <v>081211</v>
      </c>
      <c r="K418" t="s">
        <v>22</v>
      </c>
      <c r="L418" t="s">
        <v>23</v>
      </c>
      <c r="M418" t="str">
        <f t="shared" si="47"/>
        <v>1</v>
      </c>
      <c r="N418" t="str">
        <f>CONCATENATE("981747202","")</f>
        <v>981747202</v>
      </c>
      <c r="O418" t="str">
        <f t="shared" si="45"/>
        <v>1 </v>
      </c>
      <c r="P418">
        <v>10.75</v>
      </c>
      <c r="Q418" t="s">
        <v>27</v>
      </c>
    </row>
    <row r="419" spans="1:17" ht="15">
      <c r="A419" t="s">
        <v>17</v>
      </c>
      <c r="B419" s="1">
        <v>43180</v>
      </c>
      <c r="C419" t="s">
        <v>242</v>
      </c>
      <c r="D419" t="str">
        <f>CONCATENATE("0060011775","")</f>
        <v>0060011775</v>
      </c>
      <c r="E419" t="str">
        <f>CONCATENATE("0121006000020       ","")</f>
        <v>0121006000020       </v>
      </c>
      <c r="F419" t="str">
        <f>CONCATENATE("606930241","")</f>
        <v>606930241</v>
      </c>
      <c r="G419" t="s">
        <v>878</v>
      </c>
      <c r="H419" t="s">
        <v>879</v>
      </c>
      <c r="I419" t="s">
        <v>880</v>
      </c>
      <c r="J419" t="str">
        <f>CONCATENATE("081208","")</f>
        <v>081208</v>
      </c>
      <c r="K419" t="s">
        <v>22</v>
      </c>
      <c r="L419" t="s">
        <v>23</v>
      </c>
      <c r="M419" t="str">
        <f t="shared" si="47"/>
        <v>1</v>
      </c>
      <c r="O419" t="str">
        <f t="shared" si="45"/>
        <v>1 </v>
      </c>
      <c r="P419">
        <v>10.8</v>
      </c>
      <c r="Q419" t="s">
        <v>27</v>
      </c>
    </row>
    <row r="420" spans="1:17" ht="15">
      <c r="A420" t="s">
        <v>17</v>
      </c>
      <c r="B420" s="1">
        <v>43180</v>
      </c>
      <c r="C420" t="s">
        <v>242</v>
      </c>
      <c r="D420" t="str">
        <f>CONCATENATE("0060011774","")</f>
        <v>0060011774</v>
      </c>
      <c r="E420" t="str">
        <f>CONCATENATE("0121006000030       ","")</f>
        <v>0121006000030       </v>
      </c>
      <c r="F420" t="str">
        <f>CONCATENATE("606930218","")</f>
        <v>606930218</v>
      </c>
      <c r="G420" t="s">
        <v>878</v>
      </c>
      <c r="H420" t="s">
        <v>881</v>
      </c>
      <c r="I420" t="s">
        <v>880</v>
      </c>
      <c r="J420" t="str">
        <f>CONCATENATE("081208","")</f>
        <v>081208</v>
      </c>
      <c r="K420" t="s">
        <v>22</v>
      </c>
      <c r="L420" t="s">
        <v>23</v>
      </c>
      <c r="M420" t="str">
        <f t="shared" si="47"/>
        <v>1</v>
      </c>
      <c r="O420" t="str">
        <f t="shared" si="45"/>
        <v>1 </v>
      </c>
      <c r="P420">
        <v>47.05</v>
      </c>
      <c r="Q420" t="s">
        <v>27</v>
      </c>
    </row>
    <row r="421" spans="1:17" ht="15">
      <c r="A421" t="s">
        <v>17</v>
      </c>
      <c r="B421" s="1">
        <v>43180</v>
      </c>
      <c r="C421" t="s">
        <v>64</v>
      </c>
      <c r="D421" t="str">
        <f>CONCATENATE("0060012462","")</f>
        <v>0060012462</v>
      </c>
      <c r="E421" t="str">
        <f>CONCATENATE("0121007001008       ","")</f>
        <v>0121007001008       </v>
      </c>
      <c r="F421" t="str">
        <f>CONCATENATE("607305691","")</f>
        <v>607305691</v>
      </c>
      <c r="G421" t="s">
        <v>882</v>
      </c>
      <c r="H421" t="s">
        <v>883</v>
      </c>
      <c r="I421" t="s">
        <v>884</v>
      </c>
      <c r="J421" t="str">
        <f aca="true" t="shared" si="48" ref="J421:J452">CONCATENATE("081211","")</f>
        <v>081211</v>
      </c>
      <c r="K421" t="s">
        <v>22</v>
      </c>
      <c r="L421" t="s">
        <v>23</v>
      </c>
      <c r="M421" t="str">
        <f t="shared" si="47"/>
        <v>1</v>
      </c>
      <c r="O421" t="str">
        <f t="shared" si="45"/>
        <v>1 </v>
      </c>
      <c r="P421">
        <v>72.05</v>
      </c>
      <c r="Q421" t="s">
        <v>27</v>
      </c>
    </row>
    <row r="422" spans="1:17" ht="15">
      <c r="A422" t="s">
        <v>17</v>
      </c>
      <c r="B422" s="1">
        <v>43180</v>
      </c>
      <c r="C422" t="s">
        <v>64</v>
      </c>
      <c r="D422" t="str">
        <f>CONCATENATE("0060020347","")</f>
        <v>0060020347</v>
      </c>
      <c r="E422" t="str">
        <f>CONCATENATE("0121008000685       ","")</f>
        <v>0121008000685       </v>
      </c>
      <c r="F422" t="str">
        <f>CONCATENATE("606854181","")</f>
        <v>606854181</v>
      </c>
      <c r="G422" t="s">
        <v>841</v>
      </c>
      <c r="H422" t="s">
        <v>885</v>
      </c>
      <c r="I422" t="s">
        <v>886</v>
      </c>
      <c r="J422" t="str">
        <f t="shared" si="48"/>
        <v>081211</v>
      </c>
      <c r="K422" t="s">
        <v>22</v>
      </c>
      <c r="L422" t="s">
        <v>23</v>
      </c>
      <c r="M422" t="str">
        <f t="shared" si="47"/>
        <v>1</v>
      </c>
      <c r="O422" t="str">
        <f t="shared" si="45"/>
        <v>1 </v>
      </c>
      <c r="P422">
        <v>32.8</v>
      </c>
      <c r="Q422" t="s">
        <v>27</v>
      </c>
    </row>
    <row r="423" spans="1:17" ht="15">
      <c r="A423" t="s">
        <v>17</v>
      </c>
      <c r="B423" s="1">
        <v>43180</v>
      </c>
      <c r="C423" t="s">
        <v>64</v>
      </c>
      <c r="D423" t="str">
        <f>CONCATENATE("0060010154","")</f>
        <v>0060010154</v>
      </c>
      <c r="E423" t="str">
        <f>CONCATENATE("0121008000820       ","")</f>
        <v>0121008000820       </v>
      </c>
      <c r="F423" t="str">
        <f>CONCATENATE("1942813","")</f>
        <v>1942813</v>
      </c>
      <c r="G423" t="s">
        <v>862</v>
      </c>
      <c r="H423" t="s">
        <v>887</v>
      </c>
      <c r="I423" t="s">
        <v>856</v>
      </c>
      <c r="J423" t="str">
        <f t="shared" si="48"/>
        <v>081211</v>
      </c>
      <c r="K423" t="s">
        <v>22</v>
      </c>
      <c r="L423" t="s">
        <v>23</v>
      </c>
      <c r="M423" t="str">
        <f t="shared" si="47"/>
        <v>1</v>
      </c>
      <c r="O423" t="str">
        <f t="shared" si="45"/>
        <v>1 </v>
      </c>
      <c r="P423">
        <v>104.25</v>
      </c>
      <c r="Q423" t="s">
        <v>27</v>
      </c>
    </row>
    <row r="424" spans="1:17" ht="15">
      <c r="A424" t="s">
        <v>17</v>
      </c>
      <c r="B424" s="1">
        <v>43180</v>
      </c>
      <c r="C424" t="s">
        <v>64</v>
      </c>
      <c r="D424" t="str">
        <f>CONCATENATE("0060012659","")</f>
        <v>0060012659</v>
      </c>
      <c r="E424" t="str">
        <f>CONCATENATE("0121008000930       ","")</f>
        <v>0121008000930       </v>
      </c>
      <c r="F424" t="str">
        <f>CONCATENATE("605083426","")</f>
        <v>605083426</v>
      </c>
      <c r="G424" t="s">
        <v>862</v>
      </c>
      <c r="H424" t="s">
        <v>888</v>
      </c>
      <c r="I424" t="s">
        <v>889</v>
      </c>
      <c r="J424" t="str">
        <f t="shared" si="48"/>
        <v>081211</v>
      </c>
      <c r="K424" t="s">
        <v>22</v>
      </c>
      <c r="L424" t="s">
        <v>23</v>
      </c>
      <c r="M424" t="str">
        <f t="shared" si="47"/>
        <v>1</v>
      </c>
      <c r="O424" t="str">
        <f t="shared" si="45"/>
        <v>1 </v>
      </c>
      <c r="P424">
        <v>58.75</v>
      </c>
      <c r="Q424" t="s">
        <v>27</v>
      </c>
    </row>
    <row r="425" spans="1:17" ht="15">
      <c r="A425" t="s">
        <v>17</v>
      </c>
      <c r="B425" s="1">
        <v>43180</v>
      </c>
      <c r="C425" t="s">
        <v>64</v>
      </c>
      <c r="D425" t="str">
        <f>CONCATENATE("0060013702","")</f>
        <v>0060013702</v>
      </c>
      <c r="E425" t="str">
        <f>CONCATENATE("0121008001110       ","")</f>
        <v>0121008001110       </v>
      </c>
      <c r="F425" t="str">
        <f>CONCATENATE("605621042","")</f>
        <v>605621042</v>
      </c>
      <c r="G425" t="s">
        <v>862</v>
      </c>
      <c r="H425" t="s">
        <v>890</v>
      </c>
      <c r="I425" t="s">
        <v>891</v>
      </c>
      <c r="J425" t="str">
        <f t="shared" si="48"/>
        <v>081211</v>
      </c>
      <c r="K425" t="s">
        <v>22</v>
      </c>
      <c r="L425" t="s">
        <v>23</v>
      </c>
      <c r="M425" t="str">
        <f t="shared" si="47"/>
        <v>1</v>
      </c>
      <c r="O425" t="str">
        <f t="shared" si="45"/>
        <v>1 </v>
      </c>
      <c r="P425">
        <v>63.7</v>
      </c>
      <c r="Q425" t="s">
        <v>27</v>
      </c>
    </row>
    <row r="426" spans="1:17" ht="15">
      <c r="A426" t="s">
        <v>17</v>
      </c>
      <c r="B426" s="1">
        <v>43180</v>
      </c>
      <c r="C426" t="s">
        <v>64</v>
      </c>
      <c r="D426" t="str">
        <f>CONCATENATE("0060021448","")</f>
        <v>0060021448</v>
      </c>
      <c r="E426" t="str">
        <f>CONCATENATE("0121011000765       ","")</f>
        <v>0121011000765       </v>
      </c>
      <c r="F426" t="str">
        <f>CONCATENATE("606902342","")</f>
        <v>606902342</v>
      </c>
      <c r="G426" t="s">
        <v>892</v>
      </c>
      <c r="H426" t="s">
        <v>893</v>
      </c>
      <c r="I426" t="s">
        <v>894</v>
      </c>
      <c r="J426" t="str">
        <f t="shared" si="48"/>
        <v>081211</v>
      </c>
      <c r="K426" t="s">
        <v>22</v>
      </c>
      <c r="L426" t="s">
        <v>23</v>
      </c>
      <c r="M426" t="str">
        <f t="shared" si="47"/>
        <v>1</v>
      </c>
      <c r="N426" t="str">
        <f>CONCATENATE("984006869","")</f>
        <v>984006869</v>
      </c>
      <c r="O426" t="str">
        <f t="shared" si="45"/>
        <v>1 </v>
      </c>
      <c r="P426">
        <v>18.3</v>
      </c>
      <c r="Q426" t="s">
        <v>27</v>
      </c>
    </row>
    <row r="427" spans="1:17" ht="15">
      <c r="A427" t="s">
        <v>17</v>
      </c>
      <c r="B427" s="1">
        <v>43180</v>
      </c>
      <c r="C427" t="s">
        <v>64</v>
      </c>
      <c r="D427" t="str">
        <f>CONCATENATE("0060018849","")</f>
        <v>0060018849</v>
      </c>
      <c r="E427" t="str">
        <f>CONCATENATE("0121011001060       ","")</f>
        <v>0121011001060       </v>
      </c>
      <c r="F427" t="str">
        <f>CONCATENATE("606597065","")</f>
        <v>606597065</v>
      </c>
      <c r="G427" t="s">
        <v>892</v>
      </c>
      <c r="H427" t="s">
        <v>895</v>
      </c>
      <c r="I427" t="s">
        <v>896</v>
      </c>
      <c r="J427" t="str">
        <f t="shared" si="48"/>
        <v>081211</v>
      </c>
      <c r="K427" t="s">
        <v>22</v>
      </c>
      <c r="L427" t="s">
        <v>23</v>
      </c>
      <c r="M427" t="str">
        <f t="shared" si="47"/>
        <v>1</v>
      </c>
      <c r="O427" t="str">
        <f t="shared" si="45"/>
        <v>1 </v>
      </c>
      <c r="P427">
        <v>23.95</v>
      </c>
      <c r="Q427" t="s">
        <v>27</v>
      </c>
    </row>
    <row r="428" spans="1:17" ht="15">
      <c r="A428" t="s">
        <v>17</v>
      </c>
      <c r="B428" s="1">
        <v>43180</v>
      </c>
      <c r="C428" t="s">
        <v>64</v>
      </c>
      <c r="D428" t="str">
        <f>CONCATENATE("0060018780","")</f>
        <v>0060018780</v>
      </c>
      <c r="E428" t="str">
        <f>CONCATENATE("0121011002160       ","")</f>
        <v>0121011002160       </v>
      </c>
      <c r="F428" t="str">
        <f>CONCATENATE("606602350","")</f>
        <v>606602350</v>
      </c>
      <c r="G428" t="s">
        <v>892</v>
      </c>
      <c r="H428" t="s">
        <v>897</v>
      </c>
      <c r="I428" t="s">
        <v>898</v>
      </c>
      <c r="J428" t="str">
        <f t="shared" si="48"/>
        <v>081211</v>
      </c>
      <c r="K428" t="s">
        <v>22</v>
      </c>
      <c r="L428" t="s">
        <v>23</v>
      </c>
      <c r="M428" t="str">
        <f t="shared" si="47"/>
        <v>1</v>
      </c>
      <c r="O428" t="str">
        <f t="shared" si="45"/>
        <v>1 </v>
      </c>
      <c r="P428">
        <v>28.8</v>
      </c>
      <c r="Q428" t="s">
        <v>27</v>
      </c>
    </row>
    <row r="429" spans="1:17" ht="15">
      <c r="A429" t="s">
        <v>17</v>
      </c>
      <c r="B429" s="1">
        <v>43180</v>
      </c>
      <c r="C429" t="s">
        <v>64</v>
      </c>
      <c r="D429" t="str">
        <f>CONCATENATE("0060018839","")</f>
        <v>0060018839</v>
      </c>
      <c r="E429" t="str">
        <f>CONCATENATE("0121011002340       ","")</f>
        <v>0121011002340       </v>
      </c>
      <c r="F429" t="str">
        <f>CONCATENATE("606597064","")</f>
        <v>606597064</v>
      </c>
      <c r="G429" t="s">
        <v>892</v>
      </c>
      <c r="H429" t="s">
        <v>899</v>
      </c>
      <c r="I429" t="s">
        <v>900</v>
      </c>
      <c r="J429" t="str">
        <f t="shared" si="48"/>
        <v>081211</v>
      </c>
      <c r="K429" t="s">
        <v>22</v>
      </c>
      <c r="L429" t="s">
        <v>23</v>
      </c>
      <c r="M429" t="str">
        <f t="shared" si="47"/>
        <v>1</v>
      </c>
      <c r="O429" t="str">
        <f t="shared" si="45"/>
        <v>1 </v>
      </c>
      <c r="P429">
        <v>11.85</v>
      </c>
      <c r="Q429" t="s">
        <v>27</v>
      </c>
    </row>
    <row r="430" spans="1:17" ht="15">
      <c r="A430" t="s">
        <v>17</v>
      </c>
      <c r="B430" s="1">
        <v>43180</v>
      </c>
      <c r="C430" t="s">
        <v>64</v>
      </c>
      <c r="D430" t="str">
        <f>CONCATENATE("0060018845","")</f>
        <v>0060018845</v>
      </c>
      <c r="E430" t="str">
        <f>CONCATENATE("0121011002820       ","")</f>
        <v>0121011002820       </v>
      </c>
      <c r="F430" t="str">
        <f>CONCATENATE("606597052","")</f>
        <v>606597052</v>
      </c>
      <c r="G430" t="s">
        <v>892</v>
      </c>
      <c r="H430" t="s">
        <v>901</v>
      </c>
      <c r="I430" t="s">
        <v>902</v>
      </c>
      <c r="J430" t="str">
        <f t="shared" si="48"/>
        <v>081211</v>
      </c>
      <c r="K430" t="s">
        <v>22</v>
      </c>
      <c r="L430" t="s">
        <v>23</v>
      </c>
      <c r="M430" t="str">
        <f t="shared" si="47"/>
        <v>1</v>
      </c>
      <c r="O430" t="str">
        <f t="shared" si="45"/>
        <v>1 </v>
      </c>
      <c r="P430">
        <v>12.2</v>
      </c>
      <c r="Q430" t="s">
        <v>27</v>
      </c>
    </row>
    <row r="431" spans="1:17" ht="15">
      <c r="A431" t="s">
        <v>17</v>
      </c>
      <c r="B431" s="1">
        <v>43180</v>
      </c>
      <c r="C431" t="s">
        <v>64</v>
      </c>
      <c r="D431" t="str">
        <f>CONCATENATE("0060018954","")</f>
        <v>0060018954</v>
      </c>
      <c r="E431" t="str">
        <f>CONCATENATE("0121011003020       ","")</f>
        <v>0121011003020       </v>
      </c>
      <c r="F431" t="str">
        <f>CONCATENATE("0606603608","")</f>
        <v>0606603608</v>
      </c>
      <c r="G431" t="s">
        <v>862</v>
      </c>
      <c r="H431" t="s">
        <v>903</v>
      </c>
      <c r="I431" t="s">
        <v>904</v>
      </c>
      <c r="J431" t="str">
        <f t="shared" si="48"/>
        <v>081211</v>
      </c>
      <c r="K431" t="s">
        <v>22</v>
      </c>
      <c r="L431" t="s">
        <v>23</v>
      </c>
      <c r="M431" t="str">
        <f t="shared" si="47"/>
        <v>1</v>
      </c>
      <c r="O431" t="str">
        <f t="shared" si="45"/>
        <v>1 </v>
      </c>
      <c r="P431">
        <v>159.5</v>
      </c>
      <c r="Q431" t="s">
        <v>27</v>
      </c>
    </row>
    <row r="432" spans="1:17" ht="15">
      <c r="A432" t="s">
        <v>17</v>
      </c>
      <c r="B432" s="1">
        <v>43180</v>
      </c>
      <c r="C432" t="s">
        <v>64</v>
      </c>
      <c r="D432" t="str">
        <f>CONCATENATE("0060026273","")</f>
        <v>0060026273</v>
      </c>
      <c r="E432" t="str">
        <f>CONCATENATE("0121011003165       ","")</f>
        <v>0121011003165       </v>
      </c>
      <c r="F432" t="str">
        <f>CONCATENATE("2017020908","")</f>
        <v>2017020908</v>
      </c>
      <c r="G432" t="s">
        <v>892</v>
      </c>
      <c r="H432" t="s">
        <v>905</v>
      </c>
      <c r="I432" t="s">
        <v>906</v>
      </c>
      <c r="J432" t="str">
        <f t="shared" si="48"/>
        <v>081211</v>
      </c>
      <c r="K432" t="s">
        <v>22</v>
      </c>
      <c r="L432" t="s">
        <v>23</v>
      </c>
      <c r="M432" t="str">
        <f t="shared" si="47"/>
        <v>1</v>
      </c>
      <c r="N432" t="str">
        <f>CONCATENATE("992077131","")</f>
        <v>992077131</v>
      </c>
      <c r="O432" t="str">
        <f t="shared" si="45"/>
        <v>1 </v>
      </c>
      <c r="P432">
        <v>37.55</v>
      </c>
      <c r="Q432" t="s">
        <v>27</v>
      </c>
    </row>
    <row r="433" spans="1:17" ht="15">
      <c r="A433" t="s">
        <v>17</v>
      </c>
      <c r="B433" s="1">
        <v>43180</v>
      </c>
      <c r="C433" t="s">
        <v>64</v>
      </c>
      <c r="D433" t="str">
        <f>CONCATENATE("0060018810","")</f>
        <v>0060018810</v>
      </c>
      <c r="E433" t="str">
        <f>CONCATENATE("0121011003310       ","")</f>
        <v>0121011003310       </v>
      </c>
      <c r="F433" t="str">
        <f>CONCATENATE("606603443","")</f>
        <v>606603443</v>
      </c>
      <c r="G433" t="s">
        <v>892</v>
      </c>
      <c r="H433" t="s">
        <v>907</v>
      </c>
      <c r="I433" t="s">
        <v>908</v>
      </c>
      <c r="J433" t="str">
        <f t="shared" si="48"/>
        <v>081211</v>
      </c>
      <c r="K433" t="s">
        <v>22</v>
      </c>
      <c r="L433" t="s">
        <v>23</v>
      </c>
      <c r="M433" t="str">
        <f t="shared" si="47"/>
        <v>1</v>
      </c>
      <c r="O433" t="str">
        <f t="shared" si="45"/>
        <v>1 </v>
      </c>
      <c r="P433">
        <v>85.85</v>
      </c>
      <c r="Q433" t="s">
        <v>27</v>
      </c>
    </row>
    <row r="434" spans="1:17" ht="15">
      <c r="A434" t="s">
        <v>17</v>
      </c>
      <c r="B434" s="1">
        <v>43180</v>
      </c>
      <c r="C434" t="s">
        <v>64</v>
      </c>
      <c r="D434" t="str">
        <f>CONCATENATE("0060021575","")</f>
        <v>0060021575</v>
      </c>
      <c r="E434" t="str">
        <f>CONCATENATE("0121012001600       ","")</f>
        <v>0121012001600       </v>
      </c>
      <c r="F434" t="str">
        <f>CONCATENATE("607538242","")</f>
        <v>607538242</v>
      </c>
      <c r="G434" t="s">
        <v>909</v>
      </c>
      <c r="H434" t="s">
        <v>910</v>
      </c>
      <c r="I434" t="s">
        <v>911</v>
      </c>
      <c r="J434" t="str">
        <f t="shared" si="48"/>
        <v>081211</v>
      </c>
      <c r="K434" t="s">
        <v>22</v>
      </c>
      <c r="L434" t="s">
        <v>23</v>
      </c>
      <c r="M434" t="str">
        <f t="shared" si="47"/>
        <v>1</v>
      </c>
      <c r="O434" t="str">
        <f t="shared" si="45"/>
        <v>1 </v>
      </c>
      <c r="P434">
        <v>11.6</v>
      </c>
      <c r="Q434" t="s">
        <v>27</v>
      </c>
    </row>
    <row r="435" spans="1:17" ht="15">
      <c r="A435" t="s">
        <v>17</v>
      </c>
      <c r="B435" s="1">
        <v>43180</v>
      </c>
      <c r="C435" t="s">
        <v>64</v>
      </c>
      <c r="D435" t="str">
        <f>CONCATENATE("0060006766","")</f>
        <v>0060006766</v>
      </c>
      <c r="E435" t="str">
        <f>CONCATENATE("0121020000695       ","")</f>
        <v>0121020000695       </v>
      </c>
      <c r="F435" t="str">
        <f>CONCATENATE("2124044","")</f>
        <v>2124044</v>
      </c>
      <c r="G435" t="s">
        <v>912</v>
      </c>
      <c r="H435" t="s">
        <v>913</v>
      </c>
      <c r="I435" t="s">
        <v>914</v>
      </c>
      <c r="J435" t="str">
        <f t="shared" si="48"/>
        <v>081211</v>
      </c>
      <c r="K435" t="s">
        <v>22</v>
      </c>
      <c r="L435" t="s">
        <v>23</v>
      </c>
      <c r="M435" t="str">
        <f t="shared" si="47"/>
        <v>1</v>
      </c>
      <c r="O435" t="str">
        <f t="shared" si="45"/>
        <v>1 </v>
      </c>
      <c r="P435">
        <v>22.6</v>
      </c>
      <c r="Q435" t="s">
        <v>27</v>
      </c>
    </row>
    <row r="436" spans="1:17" ht="15">
      <c r="A436" t="s">
        <v>17</v>
      </c>
      <c r="B436" s="1">
        <v>43180</v>
      </c>
      <c r="C436" t="s">
        <v>64</v>
      </c>
      <c r="D436" t="str">
        <f>CONCATENATE("0060020003","")</f>
        <v>0060020003</v>
      </c>
      <c r="E436" t="str">
        <f>CONCATENATE("0121020000945       ","")</f>
        <v>0121020000945       </v>
      </c>
      <c r="F436" t="str">
        <f>CONCATENATE("606753250","")</f>
        <v>606753250</v>
      </c>
      <c r="G436" t="s">
        <v>912</v>
      </c>
      <c r="H436" t="s">
        <v>915</v>
      </c>
      <c r="I436" t="s">
        <v>916</v>
      </c>
      <c r="J436" t="str">
        <f t="shared" si="48"/>
        <v>081211</v>
      </c>
      <c r="K436" t="s">
        <v>22</v>
      </c>
      <c r="L436" t="s">
        <v>23</v>
      </c>
      <c r="M436" t="str">
        <f t="shared" si="47"/>
        <v>1</v>
      </c>
      <c r="O436" t="str">
        <f t="shared" si="45"/>
        <v>1 </v>
      </c>
      <c r="P436">
        <v>46.25</v>
      </c>
      <c r="Q436" t="s">
        <v>27</v>
      </c>
    </row>
    <row r="437" spans="1:17" ht="15">
      <c r="A437" t="s">
        <v>17</v>
      </c>
      <c r="B437" s="1">
        <v>43180</v>
      </c>
      <c r="C437" t="s">
        <v>64</v>
      </c>
      <c r="D437" t="str">
        <f>CONCATENATE("0060006795","")</f>
        <v>0060006795</v>
      </c>
      <c r="E437" t="str">
        <f>CONCATENATE("0121020000970       ","")</f>
        <v>0121020000970       </v>
      </c>
      <c r="F437" t="str">
        <f>CONCATENATE("1862094","")</f>
        <v>1862094</v>
      </c>
      <c r="G437" t="s">
        <v>917</v>
      </c>
      <c r="H437" t="s">
        <v>918</v>
      </c>
      <c r="I437" t="s">
        <v>919</v>
      </c>
      <c r="J437" t="str">
        <f t="shared" si="48"/>
        <v>081211</v>
      </c>
      <c r="K437" t="s">
        <v>22</v>
      </c>
      <c r="L437" t="s">
        <v>23</v>
      </c>
      <c r="M437" t="str">
        <f t="shared" si="47"/>
        <v>1</v>
      </c>
      <c r="O437" t="str">
        <f t="shared" si="45"/>
        <v>1 </v>
      </c>
      <c r="P437">
        <v>93.35</v>
      </c>
      <c r="Q437" t="s">
        <v>27</v>
      </c>
    </row>
    <row r="438" spans="1:17" ht="15">
      <c r="A438" t="s">
        <v>17</v>
      </c>
      <c r="B438" s="1">
        <v>43180</v>
      </c>
      <c r="C438" t="s">
        <v>64</v>
      </c>
      <c r="D438" t="str">
        <f>CONCATENATE("0060006833","")</f>
        <v>0060006833</v>
      </c>
      <c r="E438" t="str">
        <f>CONCATENATE("0121020001350       ","")</f>
        <v>0121020001350       </v>
      </c>
      <c r="F438" t="str">
        <f>CONCATENATE("607306635","")</f>
        <v>607306635</v>
      </c>
      <c r="G438" t="s">
        <v>917</v>
      </c>
      <c r="H438" t="s">
        <v>920</v>
      </c>
      <c r="I438" t="s">
        <v>919</v>
      </c>
      <c r="J438" t="str">
        <f t="shared" si="48"/>
        <v>081211</v>
      </c>
      <c r="K438" t="s">
        <v>22</v>
      </c>
      <c r="L438" t="s">
        <v>23</v>
      </c>
      <c r="M438" t="str">
        <f t="shared" si="47"/>
        <v>1</v>
      </c>
      <c r="O438" t="str">
        <f t="shared" si="45"/>
        <v>1 </v>
      </c>
      <c r="P438">
        <v>11.7</v>
      </c>
      <c r="Q438" t="s">
        <v>27</v>
      </c>
    </row>
    <row r="439" spans="1:17" ht="15">
      <c r="A439" t="s">
        <v>17</v>
      </c>
      <c r="B439" s="1">
        <v>43180</v>
      </c>
      <c r="C439" t="s">
        <v>64</v>
      </c>
      <c r="D439" t="str">
        <f>CONCATENATE("0060006836","")</f>
        <v>0060006836</v>
      </c>
      <c r="E439" t="str">
        <f>CONCATENATE("0121020001380       ","")</f>
        <v>0121020001380       </v>
      </c>
      <c r="F439" t="str">
        <f>CONCATENATE("607537697","")</f>
        <v>607537697</v>
      </c>
      <c r="G439" t="s">
        <v>921</v>
      </c>
      <c r="H439" t="s">
        <v>922</v>
      </c>
      <c r="I439" t="s">
        <v>919</v>
      </c>
      <c r="J439" t="str">
        <f t="shared" si="48"/>
        <v>081211</v>
      </c>
      <c r="K439" t="s">
        <v>22</v>
      </c>
      <c r="L439" t="s">
        <v>23</v>
      </c>
      <c r="M439" t="str">
        <f t="shared" si="47"/>
        <v>1</v>
      </c>
      <c r="O439" t="str">
        <f t="shared" si="45"/>
        <v>1 </v>
      </c>
      <c r="P439">
        <v>13.05</v>
      </c>
      <c r="Q439" t="s">
        <v>27</v>
      </c>
    </row>
    <row r="440" spans="1:17" ht="15">
      <c r="A440" t="s">
        <v>17</v>
      </c>
      <c r="B440" s="1">
        <v>43180</v>
      </c>
      <c r="C440" t="s">
        <v>64</v>
      </c>
      <c r="D440" t="str">
        <f>CONCATENATE("0060015686","")</f>
        <v>0060015686</v>
      </c>
      <c r="E440" t="str">
        <f>CONCATENATE("0121020001386       ","")</f>
        <v>0121020001386       </v>
      </c>
      <c r="F440" t="str">
        <f>CONCATENATE("1671435","")</f>
        <v>1671435</v>
      </c>
      <c r="G440" t="s">
        <v>921</v>
      </c>
      <c r="H440" t="s">
        <v>923</v>
      </c>
      <c r="I440" t="s">
        <v>924</v>
      </c>
      <c r="J440" t="str">
        <f t="shared" si="48"/>
        <v>081211</v>
      </c>
      <c r="K440" t="s">
        <v>22</v>
      </c>
      <c r="L440" t="s">
        <v>23</v>
      </c>
      <c r="M440" t="str">
        <f t="shared" si="47"/>
        <v>1</v>
      </c>
      <c r="O440" t="str">
        <f t="shared" si="45"/>
        <v>1 </v>
      </c>
      <c r="P440">
        <v>19.9</v>
      </c>
      <c r="Q440" t="s">
        <v>27</v>
      </c>
    </row>
    <row r="441" spans="1:17" ht="15">
      <c r="A441" t="s">
        <v>17</v>
      </c>
      <c r="B441" s="1">
        <v>43180</v>
      </c>
      <c r="C441" t="s">
        <v>64</v>
      </c>
      <c r="D441" t="str">
        <f>CONCATENATE("0060006837","")</f>
        <v>0060006837</v>
      </c>
      <c r="E441" t="str">
        <f>CONCATENATE("0121020001390       ","")</f>
        <v>0121020001390       </v>
      </c>
      <c r="F441" t="str">
        <f>CONCATENATE("1870179","")</f>
        <v>1870179</v>
      </c>
      <c r="G441" t="s">
        <v>921</v>
      </c>
      <c r="H441" t="s">
        <v>925</v>
      </c>
      <c r="I441" t="s">
        <v>919</v>
      </c>
      <c r="J441" t="str">
        <f t="shared" si="48"/>
        <v>081211</v>
      </c>
      <c r="K441" t="s">
        <v>22</v>
      </c>
      <c r="L441" t="s">
        <v>23</v>
      </c>
      <c r="M441" t="str">
        <f t="shared" si="47"/>
        <v>1</v>
      </c>
      <c r="O441" t="str">
        <f t="shared" si="45"/>
        <v>1 </v>
      </c>
      <c r="P441">
        <v>49.35</v>
      </c>
      <c r="Q441" t="s">
        <v>27</v>
      </c>
    </row>
    <row r="442" spans="1:17" ht="15">
      <c r="A442" t="s">
        <v>17</v>
      </c>
      <c r="B442" s="1">
        <v>43180</v>
      </c>
      <c r="C442" t="s">
        <v>64</v>
      </c>
      <c r="D442" t="str">
        <f>CONCATENATE("0060020713","")</f>
        <v>0060020713</v>
      </c>
      <c r="E442" t="str">
        <f>CONCATENATE("0121020001435       ","")</f>
        <v>0121020001435       </v>
      </c>
      <c r="F442" t="str">
        <f>CONCATENATE("607445011","")</f>
        <v>607445011</v>
      </c>
      <c r="G442" t="s">
        <v>921</v>
      </c>
      <c r="H442" t="s">
        <v>926</v>
      </c>
      <c r="I442" t="s">
        <v>927</v>
      </c>
      <c r="J442" t="str">
        <f t="shared" si="48"/>
        <v>081211</v>
      </c>
      <c r="K442" t="s">
        <v>22</v>
      </c>
      <c r="L442" t="s">
        <v>23</v>
      </c>
      <c r="M442" t="str">
        <f t="shared" si="47"/>
        <v>1</v>
      </c>
      <c r="N442" t="str">
        <f>CONCATENATE("956127012","")</f>
        <v>956127012</v>
      </c>
      <c r="O442" t="str">
        <f t="shared" si="45"/>
        <v>1 </v>
      </c>
      <c r="P442">
        <v>42.2</v>
      </c>
      <c r="Q442" t="s">
        <v>27</v>
      </c>
    </row>
    <row r="443" spans="1:17" ht="15">
      <c r="A443" t="s">
        <v>17</v>
      </c>
      <c r="B443" s="1">
        <v>43180</v>
      </c>
      <c r="C443" t="s">
        <v>64</v>
      </c>
      <c r="D443" t="str">
        <f>CONCATENATE("0060019422","")</f>
        <v>0060019422</v>
      </c>
      <c r="E443" t="str">
        <f>CONCATENATE("0121020001495       ","")</f>
        <v>0121020001495       </v>
      </c>
      <c r="F443" t="str">
        <f>CONCATENATE("606664991","")</f>
        <v>606664991</v>
      </c>
      <c r="G443" t="s">
        <v>921</v>
      </c>
      <c r="H443" t="s">
        <v>928</v>
      </c>
      <c r="I443" t="s">
        <v>929</v>
      </c>
      <c r="J443" t="str">
        <f t="shared" si="48"/>
        <v>081211</v>
      </c>
      <c r="K443" t="s">
        <v>22</v>
      </c>
      <c r="L443" t="s">
        <v>23</v>
      </c>
      <c r="M443" t="str">
        <f t="shared" si="47"/>
        <v>1</v>
      </c>
      <c r="O443" t="str">
        <f t="shared" si="45"/>
        <v>1 </v>
      </c>
      <c r="P443">
        <v>31.1</v>
      </c>
      <c r="Q443" t="s">
        <v>27</v>
      </c>
    </row>
    <row r="444" spans="1:17" ht="15">
      <c r="A444" t="s">
        <v>17</v>
      </c>
      <c r="B444" s="1">
        <v>43180</v>
      </c>
      <c r="C444" t="s">
        <v>64</v>
      </c>
      <c r="D444" t="str">
        <f>CONCATENATE("0060006859","")</f>
        <v>0060006859</v>
      </c>
      <c r="E444" t="str">
        <f>CONCATENATE("0121020001620       ","")</f>
        <v>0121020001620       </v>
      </c>
      <c r="F444" t="str">
        <f>CONCATENATE("1862082","")</f>
        <v>1862082</v>
      </c>
      <c r="G444" t="s">
        <v>930</v>
      </c>
      <c r="H444" t="s">
        <v>931</v>
      </c>
      <c r="I444" t="s">
        <v>919</v>
      </c>
      <c r="J444" t="str">
        <f t="shared" si="48"/>
        <v>081211</v>
      </c>
      <c r="K444" t="s">
        <v>22</v>
      </c>
      <c r="L444" t="s">
        <v>23</v>
      </c>
      <c r="M444" t="str">
        <f t="shared" si="47"/>
        <v>1</v>
      </c>
      <c r="O444" t="str">
        <f t="shared" si="45"/>
        <v>1 </v>
      </c>
      <c r="P444">
        <v>59.6</v>
      </c>
      <c r="Q444" t="s">
        <v>27</v>
      </c>
    </row>
    <row r="445" spans="1:17" ht="15">
      <c r="A445" t="s">
        <v>17</v>
      </c>
      <c r="B445" s="1">
        <v>43180</v>
      </c>
      <c r="C445" t="s">
        <v>64</v>
      </c>
      <c r="D445" t="str">
        <f>CONCATENATE("0060006894","")</f>
        <v>0060006894</v>
      </c>
      <c r="E445" t="str">
        <f>CONCATENATE("0121021000460       ","")</f>
        <v>0121021000460       </v>
      </c>
      <c r="F445" t="str">
        <f>CONCATENATE("2014020007","")</f>
        <v>2014020007</v>
      </c>
      <c r="G445" t="s">
        <v>917</v>
      </c>
      <c r="H445" t="s">
        <v>932</v>
      </c>
      <c r="I445" t="s">
        <v>933</v>
      </c>
      <c r="J445" t="str">
        <f t="shared" si="48"/>
        <v>081211</v>
      </c>
      <c r="K445" t="s">
        <v>22</v>
      </c>
      <c r="L445" t="s">
        <v>23</v>
      </c>
      <c r="M445" t="str">
        <f t="shared" si="47"/>
        <v>1</v>
      </c>
      <c r="O445" t="str">
        <f t="shared" si="45"/>
        <v>1 </v>
      </c>
      <c r="P445">
        <v>111.95</v>
      </c>
      <c r="Q445" t="s">
        <v>27</v>
      </c>
    </row>
    <row r="446" spans="1:17" ht="15">
      <c r="A446" t="s">
        <v>17</v>
      </c>
      <c r="B446" s="1">
        <v>43180</v>
      </c>
      <c r="C446" t="s">
        <v>64</v>
      </c>
      <c r="D446" t="str">
        <f>CONCATENATE("0060010070","")</f>
        <v>0060010070</v>
      </c>
      <c r="E446" t="str">
        <f>CONCATENATE("0121021000575       ","")</f>
        <v>0121021000575       </v>
      </c>
      <c r="F446" t="str">
        <f>CONCATENATE("1868393","")</f>
        <v>1868393</v>
      </c>
      <c r="G446" t="s">
        <v>930</v>
      </c>
      <c r="H446" t="s">
        <v>934</v>
      </c>
      <c r="I446" t="s">
        <v>935</v>
      </c>
      <c r="J446" t="str">
        <f t="shared" si="48"/>
        <v>081211</v>
      </c>
      <c r="K446" t="s">
        <v>22</v>
      </c>
      <c r="L446" t="s">
        <v>23</v>
      </c>
      <c r="M446" t="str">
        <f t="shared" si="47"/>
        <v>1</v>
      </c>
      <c r="O446" t="str">
        <f t="shared" si="45"/>
        <v>1 </v>
      </c>
      <c r="P446">
        <v>116.05</v>
      </c>
      <c r="Q446" t="s">
        <v>27</v>
      </c>
    </row>
    <row r="447" spans="1:17" ht="15">
      <c r="A447" t="s">
        <v>17</v>
      </c>
      <c r="B447" s="1">
        <v>43180</v>
      </c>
      <c r="C447" t="s">
        <v>64</v>
      </c>
      <c r="D447" t="str">
        <f>CONCATENATE("0060019862","")</f>
        <v>0060019862</v>
      </c>
      <c r="E447" t="str">
        <f>CONCATENATE("0121021000713       ","")</f>
        <v>0121021000713       </v>
      </c>
      <c r="F447" t="str">
        <f>CONCATENATE("606752562","")</f>
        <v>606752562</v>
      </c>
      <c r="G447" t="s">
        <v>917</v>
      </c>
      <c r="H447" t="s">
        <v>936</v>
      </c>
      <c r="I447" t="s">
        <v>937</v>
      </c>
      <c r="J447" t="str">
        <f t="shared" si="48"/>
        <v>081211</v>
      </c>
      <c r="K447" t="s">
        <v>22</v>
      </c>
      <c r="L447" t="s">
        <v>23</v>
      </c>
      <c r="M447" t="str">
        <f t="shared" si="47"/>
        <v>1</v>
      </c>
      <c r="O447" t="str">
        <f t="shared" si="45"/>
        <v>1 </v>
      </c>
      <c r="P447">
        <v>277.7</v>
      </c>
      <c r="Q447" t="s">
        <v>27</v>
      </c>
    </row>
    <row r="448" spans="1:17" ht="15">
      <c r="A448" t="s">
        <v>17</v>
      </c>
      <c r="B448" s="1">
        <v>43180</v>
      </c>
      <c r="C448" t="s">
        <v>64</v>
      </c>
      <c r="D448" t="str">
        <f>CONCATENATE("0060009810","")</f>
        <v>0060009810</v>
      </c>
      <c r="E448" t="str">
        <f>CONCATENATE("0121021000745       ","")</f>
        <v>0121021000745       </v>
      </c>
      <c r="F448" t="str">
        <f>CONCATENATE("2126001","")</f>
        <v>2126001</v>
      </c>
      <c r="G448" t="s">
        <v>917</v>
      </c>
      <c r="H448" t="s">
        <v>938</v>
      </c>
      <c r="I448" t="s">
        <v>939</v>
      </c>
      <c r="J448" t="str">
        <f t="shared" si="48"/>
        <v>081211</v>
      </c>
      <c r="K448" t="s">
        <v>22</v>
      </c>
      <c r="L448" t="s">
        <v>23</v>
      </c>
      <c r="M448" t="str">
        <f t="shared" si="47"/>
        <v>1</v>
      </c>
      <c r="O448" t="str">
        <f t="shared" si="45"/>
        <v>1 </v>
      </c>
      <c r="P448">
        <v>11.7</v>
      </c>
      <c r="Q448" t="s">
        <v>27</v>
      </c>
    </row>
    <row r="449" spans="1:17" ht="15">
      <c r="A449" t="s">
        <v>17</v>
      </c>
      <c r="B449" s="1">
        <v>43180</v>
      </c>
      <c r="C449" t="s">
        <v>64</v>
      </c>
      <c r="D449" t="str">
        <f>CONCATENATE("0060020378","")</f>
        <v>0060020378</v>
      </c>
      <c r="E449" t="str">
        <f>CONCATENATE("0121021000782       ","")</f>
        <v>0121021000782       </v>
      </c>
      <c r="F449" t="str">
        <f>CONCATENATE("606854184","")</f>
        <v>606854184</v>
      </c>
      <c r="G449" t="s">
        <v>917</v>
      </c>
      <c r="H449" t="s">
        <v>940</v>
      </c>
      <c r="I449" t="s">
        <v>941</v>
      </c>
      <c r="J449" t="str">
        <f t="shared" si="48"/>
        <v>081211</v>
      </c>
      <c r="K449" t="s">
        <v>22</v>
      </c>
      <c r="L449" t="s">
        <v>23</v>
      </c>
      <c r="M449" t="str">
        <f t="shared" si="47"/>
        <v>1</v>
      </c>
      <c r="O449" t="str">
        <f t="shared" si="45"/>
        <v>1 </v>
      </c>
      <c r="P449">
        <v>178.5</v>
      </c>
      <c r="Q449" t="s">
        <v>27</v>
      </c>
    </row>
    <row r="450" spans="1:17" ht="15">
      <c r="A450" t="s">
        <v>17</v>
      </c>
      <c r="B450" s="1">
        <v>43180</v>
      </c>
      <c r="C450" t="s">
        <v>64</v>
      </c>
      <c r="D450" t="str">
        <f>CONCATENATE("0060013577","")</f>
        <v>0060013577</v>
      </c>
      <c r="E450" t="str">
        <f>CONCATENATE("0121021001165       ","")</f>
        <v>0121021001165       </v>
      </c>
      <c r="F450" t="str">
        <f>CONCATENATE("607546538","")</f>
        <v>607546538</v>
      </c>
      <c r="G450" t="s">
        <v>930</v>
      </c>
      <c r="H450" t="s">
        <v>942</v>
      </c>
      <c r="I450" t="s">
        <v>943</v>
      </c>
      <c r="J450" t="str">
        <f t="shared" si="48"/>
        <v>081211</v>
      </c>
      <c r="K450" t="s">
        <v>22</v>
      </c>
      <c r="L450" t="s">
        <v>23</v>
      </c>
      <c r="M450" t="str">
        <f t="shared" si="47"/>
        <v>1</v>
      </c>
      <c r="O450" t="str">
        <f aca="true" t="shared" si="49" ref="O450:O513">CONCATENATE("1 ","")</f>
        <v>1 </v>
      </c>
      <c r="P450">
        <v>14.2</v>
      </c>
      <c r="Q450" t="s">
        <v>27</v>
      </c>
    </row>
    <row r="451" spans="1:17" ht="15">
      <c r="A451" t="s">
        <v>17</v>
      </c>
      <c r="B451" s="1">
        <v>43180</v>
      </c>
      <c r="C451" t="s">
        <v>64</v>
      </c>
      <c r="D451" t="str">
        <f>CONCATENATE("0060020026","")</f>
        <v>0060020026</v>
      </c>
      <c r="E451" t="str">
        <f>CONCATENATE("0121021001885       ","")</f>
        <v>0121021001885       </v>
      </c>
      <c r="F451" t="str">
        <f>CONCATENATE("606753244","")</f>
        <v>606753244</v>
      </c>
      <c r="G451" t="s">
        <v>944</v>
      </c>
      <c r="H451" t="s">
        <v>945</v>
      </c>
      <c r="I451" t="s">
        <v>946</v>
      </c>
      <c r="J451" t="str">
        <f t="shared" si="48"/>
        <v>081211</v>
      </c>
      <c r="K451" t="s">
        <v>22</v>
      </c>
      <c r="L451" t="s">
        <v>23</v>
      </c>
      <c r="M451" t="str">
        <f t="shared" si="47"/>
        <v>1</v>
      </c>
      <c r="O451" t="str">
        <f t="shared" si="49"/>
        <v>1 </v>
      </c>
      <c r="P451">
        <v>151.15</v>
      </c>
      <c r="Q451" t="s">
        <v>27</v>
      </c>
    </row>
    <row r="452" spans="1:17" ht="15">
      <c r="A452" t="s">
        <v>17</v>
      </c>
      <c r="B452" s="1">
        <v>43180</v>
      </c>
      <c r="C452" t="s">
        <v>64</v>
      </c>
      <c r="D452" t="str">
        <f>CONCATENATE("0060020037","")</f>
        <v>0060020037</v>
      </c>
      <c r="E452" t="str">
        <f>CONCATENATE("0121021002010       ","")</f>
        <v>0121021002010       </v>
      </c>
      <c r="F452" t="str">
        <f>CONCATENATE("606753255","")</f>
        <v>606753255</v>
      </c>
      <c r="G452" t="s">
        <v>944</v>
      </c>
      <c r="H452" t="s">
        <v>947</v>
      </c>
      <c r="I452" t="s">
        <v>948</v>
      </c>
      <c r="J452" t="str">
        <f t="shared" si="48"/>
        <v>081211</v>
      </c>
      <c r="K452" t="s">
        <v>22</v>
      </c>
      <c r="L452" t="s">
        <v>23</v>
      </c>
      <c r="M452" t="str">
        <f t="shared" si="47"/>
        <v>1</v>
      </c>
      <c r="O452" t="str">
        <f t="shared" si="49"/>
        <v>1 </v>
      </c>
      <c r="P452">
        <v>15.55</v>
      </c>
      <c r="Q452" t="s">
        <v>27</v>
      </c>
    </row>
    <row r="453" spans="1:17" ht="15">
      <c r="A453" t="s">
        <v>17</v>
      </c>
      <c r="B453" s="1">
        <v>43180</v>
      </c>
      <c r="C453" t="s">
        <v>64</v>
      </c>
      <c r="D453" t="str">
        <f>CONCATENATE("0060009203","")</f>
        <v>0060009203</v>
      </c>
      <c r="E453" t="str">
        <f>CONCATENATE("0121022000070       ","")</f>
        <v>0121022000070       </v>
      </c>
      <c r="F453" t="str">
        <f>CONCATENATE("605879181","")</f>
        <v>605879181</v>
      </c>
      <c r="G453" t="s">
        <v>949</v>
      </c>
      <c r="H453" t="s">
        <v>950</v>
      </c>
      <c r="I453" t="s">
        <v>951</v>
      </c>
      <c r="J453" t="str">
        <f aca="true" t="shared" si="50" ref="J453:J484">CONCATENATE("081211","")</f>
        <v>081211</v>
      </c>
      <c r="K453" t="s">
        <v>22</v>
      </c>
      <c r="L453" t="s">
        <v>23</v>
      </c>
      <c r="M453" t="str">
        <f t="shared" si="47"/>
        <v>1</v>
      </c>
      <c r="O453" t="str">
        <f t="shared" si="49"/>
        <v>1 </v>
      </c>
      <c r="P453">
        <v>11.95</v>
      </c>
      <c r="Q453" t="s">
        <v>27</v>
      </c>
    </row>
    <row r="454" spans="1:17" ht="15">
      <c r="A454" t="s">
        <v>17</v>
      </c>
      <c r="B454" s="1">
        <v>43180</v>
      </c>
      <c r="C454" t="s">
        <v>64</v>
      </c>
      <c r="D454" t="str">
        <f>CONCATENATE("0060009209","")</f>
        <v>0060009209</v>
      </c>
      <c r="E454" t="str">
        <f>CONCATENATE("0121022000260       ","")</f>
        <v>0121022000260       </v>
      </c>
      <c r="F454" t="str">
        <f>CONCATENATE("605880493","")</f>
        <v>605880493</v>
      </c>
      <c r="G454" t="s">
        <v>949</v>
      </c>
      <c r="H454" t="s">
        <v>952</v>
      </c>
      <c r="I454" t="s">
        <v>953</v>
      </c>
      <c r="J454" t="str">
        <f t="shared" si="50"/>
        <v>081211</v>
      </c>
      <c r="K454" t="s">
        <v>22</v>
      </c>
      <c r="L454" t="s">
        <v>23</v>
      </c>
      <c r="M454" t="str">
        <f t="shared" si="47"/>
        <v>1</v>
      </c>
      <c r="O454" t="str">
        <f t="shared" si="49"/>
        <v>1 </v>
      </c>
      <c r="P454">
        <v>23.85</v>
      </c>
      <c r="Q454" t="s">
        <v>27</v>
      </c>
    </row>
    <row r="455" spans="1:17" ht="15">
      <c r="A455" t="s">
        <v>17</v>
      </c>
      <c r="B455" s="1">
        <v>43180</v>
      </c>
      <c r="C455" t="s">
        <v>64</v>
      </c>
      <c r="D455" t="str">
        <f>CONCATENATE("0060022243","")</f>
        <v>0060022243</v>
      </c>
      <c r="E455" t="str">
        <f>CONCATENATE("0121022000283       ","")</f>
        <v>0121022000283       </v>
      </c>
      <c r="F455" t="str">
        <f>CONCATENATE("607547524","")</f>
        <v>607547524</v>
      </c>
      <c r="G455" t="s">
        <v>949</v>
      </c>
      <c r="H455" t="s">
        <v>954</v>
      </c>
      <c r="I455" t="s">
        <v>955</v>
      </c>
      <c r="J455" t="str">
        <f t="shared" si="50"/>
        <v>081211</v>
      </c>
      <c r="K455" t="s">
        <v>22</v>
      </c>
      <c r="L455" t="s">
        <v>23</v>
      </c>
      <c r="M455" t="str">
        <f t="shared" si="47"/>
        <v>1</v>
      </c>
      <c r="O455" t="str">
        <f t="shared" si="49"/>
        <v>1 </v>
      </c>
      <c r="P455">
        <v>19.65</v>
      </c>
      <c r="Q455" t="s">
        <v>27</v>
      </c>
    </row>
    <row r="456" spans="1:17" ht="15">
      <c r="A456" t="s">
        <v>17</v>
      </c>
      <c r="B456" s="1">
        <v>43180</v>
      </c>
      <c r="C456" t="s">
        <v>64</v>
      </c>
      <c r="D456" t="str">
        <f>CONCATENATE("0060016068","")</f>
        <v>0060016068</v>
      </c>
      <c r="E456" t="str">
        <f>CONCATENATE("0121022000285       ","")</f>
        <v>0121022000285       </v>
      </c>
      <c r="F456" t="str">
        <f>CONCATENATE("1760373","")</f>
        <v>1760373</v>
      </c>
      <c r="G456" t="s">
        <v>949</v>
      </c>
      <c r="H456" t="s">
        <v>956</v>
      </c>
      <c r="I456" t="s">
        <v>957</v>
      </c>
      <c r="J456" t="str">
        <f t="shared" si="50"/>
        <v>081211</v>
      </c>
      <c r="K456" t="s">
        <v>22</v>
      </c>
      <c r="L456" t="s">
        <v>23</v>
      </c>
      <c r="M456" t="str">
        <f t="shared" si="47"/>
        <v>1</v>
      </c>
      <c r="O456" t="str">
        <f t="shared" si="49"/>
        <v>1 </v>
      </c>
      <c r="P456">
        <v>29.65</v>
      </c>
      <c r="Q456" t="s">
        <v>27</v>
      </c>
    </row>
    <row r="457" spans="1:17" ht="15">
      <c r="A457" t="s">
        <v>17</v>
      </c>
      <c r="B457" s="1">
        <v>43180</v>
      </c>
      <c r="C457" t="s">
        <v>64</v>
      </c>
      <c r="D457" t="str">
        <f>CONCATENATE("0060016031","")</f>
        <v>0060016031</v>
      </c>
      <c r="E457" t="str">
        <f>CONCATENATE("0121022000320       ","")</f>
        <v>0121022000320       </v>
      </c>
      <c r="F457" t="str">
        <f>CONCATENATE("1674521","")</f>
        <v>1674521</v>
      </c>
      <c r="G457" t="s">
        <v>949</v>
      </c>
      <c r="H457" t="s">
        <v>958</v>
      </c>
      <c r="I457" t="s">
        <v>957</v>
      </c>
      <c r="J457" t="str">
        <f t="shared" si="50"/>
        <v>081211</v>
      </c>
      <c r="K457" t="s">
        <v>22</v>
      </c>
      <c r="L457" t="s">
        <v>23</v>
      </c>
      <c r="M457" t="str">
        <f t="shared" si="47"/>
        <v>1</v>
      </c>
      <c r="O457" t="str">
        <f t="shared" si="49"/>
        <v>1 </v>
      </c>
      <c r="P457">
        <v>59.7</v>
      </c>
      <c r="Q457" t="s">
        <v>27</v>
      </c>
    </row>
    <row r="458" spans="1:17" ht="15">
      <c r="A458" t="s">
        <v>17</v>
      </c>
      <c r="B458" s="1">
        <v>43180</v>
      </c>
      <c r="C458" t="s">
        <v>64</v>
      </c>
      <c r="D458" t="str">
        <f>CONCATENATE("0060020241","")</f>
        <v>0060020241</v>
      </c>
      <c r="E458" t="str">
        <f>CONCATENATE("0121023000005       ","")</f>
        <v>0121023000005       </v>
      </c>
      <c r="F458" t="str">
        <f>CONCATENATE("607430207","")</f>
        <v>607430207</v>
      </c>
      <c r="G458" t="s">
        <v>917</v>
      </c>
      <c r="H458" t="s">
        <v>959</v>
      </c>
      <c r="I458" t="s">
        <v>960</v>
      </c>
      <c r="J458" t="str">
        <f t="shared" si="50"/>
        <v>081211</v>
      </c>
      <c r="K458" t="s">
        <v>22</v>
      </c>
      <c r="L458" t="s">
        <v>23</v>
      </c>
      <c r="M458" t="str">
        <f>CONCATENATE("3","")</f>
        <v>3</v>
      </c>
      <c r="O458" t="str">
        <f t="shared" si="49"/>
        <v>1 </v>
      </c>
      <c r="P458">
        <v>183.4</v>
      </c>
      <c r="Q458" t="s">
        <v>24</v>
      </c>
    </row>
    <row r="459" spans="1:17" ht="15">
      <c r="A459" t="s">
        <v>17</v>
      </c>
      <c r="B459" s="1">
        <v>43180</v>
      </c>
      <c r="C459" t="s">
        <v>64</v>
      </c>
      <c r="D459" t="str">
        <f>CONCATENATE("0060010282","")</f>
        <v>0060010282</v>
      </c>
      <c r="E459" t="str">
        <f>CONCATENATE("0121023000010       ","")</f>
        <v>0121023000010       </v>
      </c>
      <c r="F459" t="str">
        <f>CONCATENATE("2015022440","")</f>
        <v>2015022440</v>
      </c>
      <c r="G459" t="s">
        <v>961</v>
      </c>
      <c r="H459" t="s">
        <v>962</v>
      </c>
      <c r="I459" t="s">
        <v>963</v>
      </c>
      <c r="J459" t="str">
        <f t="shared" si="50"/>
        <v>081211</v>
      </c>
      <c r="K459" t="s">
        <v>22</v>
      </c>
      <c r="L459" t="s">
        <v>23</v>
      </c>
      <c r="M459" t="str">
        <f>CONCATENATE("1","")</f>
        <v>1</v>
      </c>
      <c r="O459" t="str">
        <f t="shared" si="49"/>
        <v>1 </v>
      </c>
      <c r="P459">
        <v>916.95</v>
      </c>
      <c r="Q459" t="s">
        <v>27</v>
      </c>
    </row>
    <row r="460" spans="1:17" ht="15">
      <c r="A460" t="s">
        <v>17</v>
      </c>
      <c r="B460" s="1">
        <v>43180</v>
      </c>
      <c r="C460" t="s">
        <v>64</v>
      </c>
      <c r="D460" t="str">
        <f>CONCATENATE("0060008882","")</f>
        <v>0060008882</v>
      </c>
      <c r="E460" t="str">
        <f>CONCATENATE("0121025000005       ","")</f>
        <v>0121025000005       </v>
      </c>
      <c r="F460" t="str">
        <f>CONCATENATE("607542246","")</f>
        <v>607542246</v>
      </c>
      <c r="G460" t="s">
        <v>964</v>
      </c>
      <c r="H460" t="s">
        <v>965</v>
      </c>
      <c r="I460" t="s">
        <v>966</v>
      </c>
      <c r="J460" t="str">
        <f t="shared" si="50"/>
        <v>081211</v>
      </c>
      <c r="K460" t="s">
        <v>22</v>
      </c>
      <c r="L460" t="s">
        <v>23</v>
      </c>
      <c r="M460" t="str">
        <f>CONCATENATE("1","")</f>
        <v>1</v>
      </c>
      <c r="O460" t="str">
        <f t="shared" si="49"/>
        <v>1 </v>
      </c>
      <c r="P460">
        <v>14.95</v>
      </c>
      <c r="Q460" t="s">
        <v>27</v>
      </c>
    </row>
    <row r="461" spans="1:17" ht="15">
      <c r="A461" t="s">
        <v>17</v>
      </c>
      <c r="B461" s="1">
        <v>43180</v>
      </c>
      <c r="C461" t="s">
        <v>64</v>
      </c>
      <c r="D461" t="str">
        <f>CONCATENATE("0060006971","")</f>
        <v>0060006971</v>
      </c>
      <c r="E461" t="str">
        <f>CONCATENATE("0121025000150       ","")</f>
        <v>0121025000150       </v>
      </c>
      <c r="F461" t="str">
        <f>CONCATENATE("2123868","")</f>
        <v>2123868</v>
      </c>
      <c r="G461" t="s">
        <v>964</v>
      </c>
      <c r="H461" t="s">
        <v>967</v>
      </c>
      <c r="I461" t="s">
        <v>968</v>
      </c>
      <c r="J461" t="str">
        <f t="shared" si="50"/>
        <v>081211</v>
      </c>
      <c r="K461" t="s">
        <v>22</v>
      </c>
      <c r="L461" t="s">
        <v>23</v>
      </c>
      <c r="M461" t="str">
        <f>CONCATENATE("1","")</f>
        <v>1</v>
      </c>
      <c r="O461" t="str">
        <f t="shared" si="49"/>
        <v>1 </v>
      </c>
      <c r="P461">
        <v>63.45</v>
      </c>
      <c r="Q461" t="s">
        <v>27</v>
      </c>
    </row>
    <row r="462" spans="1:17" ht="15">
      <c r="A462" t="s">
        <v>17</v>
      </c>
      <c r="B462" s="1">
        <v>43180</v>
      </c>
      <c r="C462" t="s">
        <v>64</v>
      </c>
      <c r="D462" t="str">
        <f>CONCATENATE("0060006974","")</f>
        <v>0060006974</v>
      </c>
      <c r="E462" t="str">
        <f>CONCATENATE("0121025000170       ","")</f>
        <v>0121025000170       </v>
      </c>
      <c r="F462" t="str">
        <f>CONCATENATE("605750681","")</f>
        <v>605750681</v>
      </c>
      <c r="G462" t="s">
        <v>964</v>
      </c>
      <c r="H462" t="s">
        <v>969</v>
      </c>
      <c r="I462" t="s">
        <v>968</v>
      </c>
      <c r="J462" t="str">
        <f t="shared" si="50"/>
        <v>081211</v>
      </c>
      <c r="K462" t="s">
        <v>22</v>
      </c>
      <c r="L462" t="s">
        <v>23</v>
      </c>
      <c r="M462" t="str">
        <f>CONCATENATE("1","")</f>
        <v>1</v>
      </c>
      <c r="O462" t="str">
        <f t="shared" si="49"/>
        <v>1 </v>
      </c>
      <c r="P462">
        <v>17.35</v>
      </c>
      <c r="Q462" t="s">
        <v>27</v>
      </c>
    </row>
    <row r="463" spans="1:17" ht="15">
      <c r="A463" t="s">
        <v>17</v>
      </c>
      <c r="B463" s="1">
        <v>43180</v>
      </c>
      <c r="C463" t="s">
        <v>64</v>
      </c>
      <c r="D463" t="str">
        <f>CONCATENATE("0060015878","")</f>
        <v>0060015878</v>
      </c>
      <c r="E463" t="str">
        <f>CONCATENATE("0121025000172       ","")</f>
        <v>0121025000172       </v>
      </c>
      <c r="F463" t="str">
        <f>CONCATENATE("1680136","")</f>
        <v>1680136</v>
      </c>
      <c r="G463" t="s">
        <v>970</v>
      </c>
      <c r="H463" t="s">
        <v>971</v>
      </c>
      <c r="I463" t="s">
        <v>972</v>
      </c>
      <c r="J463" t="str">
        <f t="shared" si="50"/>
        <v>081211</v>
      </c>
      <c r="K463" t="s">
        <v>22</v>
      </c>
      <c r="L463" t="s">
        <v>23</v>
      </c>
      <c r="M463" t="str">
        <f>CONCATENATE("3","")</f>
        <v>3</v>
      </c>
      <c r="O463" t="str">
        <f t="shared" si="49"/>
        <v>1 </v>
      </c>
      <c r="P463">
        <v>591.55</v>
      </c>
      <c r="Q463" t="s">
        <v>24</v>
      </c>
    </row>
    <row r="464" spans="1:17" ht="15">
      <c r="A464" t="s">
        <v>17</v>
      </c>
      <c r="B464" s="1">
        <v>43180</v>
      </c>
      <c r="C464" t="s">
        <v>64</v>
      </c>
      <c r="D464" t="str">
        <f>CONCATENATE("0060019567","")</f>
        <v>0060019567</v>
      </c>
      <c r="E464" t="str">
        <f>CONCATENATE("0121025000273       ","")</f>
        <v>0121025000273       </v>
      </c>
      <c r="F464" t="str">
        <f>CONCATENATE("606758154","")</f>
        <v>606758154</v>
      </c>
      <c r="G464" t="s">
        <v>964</v>
      </c>
      <c r="H464" t="s">
        <v>973</v>
      </c>
      <c r="I464" t="s">
        <v>974</v>
      </c>
      <c r="J464" t="str">
        <f t="shared" si="50"/>
        <v>081211</v>
      </c>
      <c r="K464" t="s">
        <v>22</v>
      </c>
      <c r="L464" t="s">
        <v>23</v>
      </c>
      <c r="M464" t="str">
        <f aca="true" t="shared" si="51" ref="M464:M491">CONCATENATE("1","")</f>
        <v>1</v>
      </c>
      <c r="O464" t="str">
        <f t="shared" si="49"/>
        <v>1 </v>
      </c>
      <c r="P464">
        <v>105.75</v>
      </c>
      <c r="Q464" t="s">
        <v>27</v>
      </c>
    </row>
    <row r="465" spans="1:17" ht="15">
      <c r="A465" t="s">
        <v>17</v>
      </c>
      <c r="B465" s="1">
        <v>43180</v>
      </c>
      <c r="C465" t="s">
        <v>64</v>
      </c>
      <c r="D465" t="str">
        <f>CONCATENATE("0060006995","")</f>
        <v>0060006995</v>
      </c>
      <c r="E465" t="str">
        <f>CONCATENATE("0121025000360       ","")</f>
        <v>0121025000360       </v>
      </c>
      <c r="F465" t="str">
        <f>CONCATENATE("605746954","")</f>
        <v>605746954</v>
      </c>
      <c r="G465" t="s">
        <v>964</v>
      </c>
      <c r="H465" t="s">
        <v>975</v>
      </c>
      <c r="I465" t="s">
        <v>968</v>
      </c>
      <c r="J465" t="str">
        <f t="shared" si="50"/>
        <v>081211</v>
      </c>
      <c r="K465" t="s">
        <v>22</v>
      </c>
      <c r="L465" t="s">
        <v>23</v>
      </c>
      <c r="M465" t="str">
        <f t="shared" si="51"/>
        <v>1</v>
      </c>
      <c r="O465" t="str">
        <f t="shared" si="49"/>
        <v>1 </v>
      </c>
      <c r="P465">
        <v>72.2</v>
      </c>
      <c r="Q465" t="s">
        <v>27</v>
      </c>
    </row>
    <row r="466" spans="1:17" ht="15">
      <c r="A466" t="s">
        <v>17</v>
      </c>
      <c r="B466" s="1">
        <v>43180</v>
      </c>
      <c r="C466" t="s">
        <v>64</v>
      </c>
      <c r="D466" t="str">
        <f>CONCATENATE("0060007023","")</f>
        <v>0060007023</v>
      </c>
      <c r="E466" t="str">
        <f>CONCATENATE("0121025000585       ","")</f>
        <v>0121025000585       </v>
      </c>
      <c r="F466" t="str">
        <f>CONCATENATE("2123875","")</f>
        <v>2123875</v>
      </c>
      <c r="G466" t="s">
        <v>964</v>
      </c>
      <c r="H466" t="s">
        <v>976</v>
      </c>
      <c r="I466" t="s">
        <v>977</v>
      </c>
      <c r="J466" t="str">
        <f t="shared" si="50"/>
        <v>081211</v>
      </c>
      <c r="K466" t="s">
        <v>22</v>
      </c>
      <c r="L466" t="s">
        <v>23</v>
      </c>
      <c r="M466" t="str">
        <f t="shared" si="51"/>
        <v>1</v>
      </c>
      <c r="O466" t="str">
        <f t="shared" si="49"/>
        <v>1 </v>
      </c>
      <c r="P466">
        <v>10.8</v>
      </c>
      <c r="Q466" t="s">
        <v>27</v>
      </c>
    </row>
    <row r="467" spans="1:17" ht="15">
      <c r="A467" t="s">
        <v>17</v>
      </c>
      <c r="B467" s="1">
        <v>43180</v>
      </c>
      <c r="C467" t="s">
        <v>64</v>
      </c>
      <c r="D467" t="str">
        <f>CONCATENATE("0060010649","")</f>
        <v>0060010649</v>
      </c>
      <c r="E467" t="str">
        <f>CONCATENATE("0121025000651       ","")</f>
        <v>0121025000651       </v>
      </c>
      <c r="F467" t="str">
        <f>CONCATENATE("1939845","")</f>
        <v>1939845</v>
      </c>
      <c r="G467" t="s">
        <v>978</v>
      </c>
      <c r="H467" t="s">
        <v>979</v>
      </c>
      <c r="I467" t="s">
        <v>980</v>
      </c>
      <c r="J467" t="str">
        <f t="shared" si="50"/>
        <v>081211</v>
      </c>
      <c r="K467" t="s">
        <v>22</v>
      </c>
      <c r="L467" t="s">
        <v>23</v>
      </c>
      <c r="M467" t="str">
        <f t="shared" si="51"/>
        <v>1</v>
      </c>
      <c r="O467" t="str">
        <f t="shared" si="49"/>
        <v>1 </v>
      </c>
      <c r="P467">
        <v>281.55</v>
      </c>
      <c r="Q467" t="s">
        <v>27</v>
      </c>
    </row>
    <row r="468" spans="1:17" ht="15">
      <c r="A468" t="s">
        <v>17</v>
      </c>
      <c r="B468" s="1">
        <v>43180</v>
      </c>
      <c r="C468" t="s">
        <v>64</v>
      </c>
      <c r="D468" t="str">
        <f>CONCATENATE("0060020753","")</f>
        <v>0060020753</v>
      </c>
      <c r="E468" t="str">
        <f>CONCATENATE("0121025000665       ","")</f>
        <v>0121025000665       </v>
      </c>
      <c r="F468" t="str">
        <f>CONCATENATE("606930015","")</f>
        <v>606930015</v>
      </c>
      <c r="G468" t="s">
        <v>978</v>
      </c>
      <c r="H468" t="s">
        <v>981</v>
      </c>
      <c r="I468" t="s">
        <v>982</v>
      </c>
      <c r="J468" t="str">
        <f t="shared" si="50"/>
        <v>081211</v>
      </c>
      <c r="K468" t="s">
        <v>22</v>
      </c>
      <c r="L468" t="s">
        <v>23</v>
      </c>
      <c r="M468" t="str">
        <f t="shared" si="51"/>
        <v>1</v>
      </c>
      <c r="N468" t="str">
        <f>CONCATENATE("984938080","")</f>
        <v>984938080</v>
      </c>
      <c r="O468" t="str">
        <f t="shared" si="49"/>
        <v>1 </v>
      </c>
      <c r="P468">
        <v>22.5</v>
      </c>
      <c r="Q468" t="s">
        <v>27</v>
      </c>
    </row>
    <row r="469" spans="1:17" ht="15">
      <c r="A469" t="s">
        <v>17</v>
      </c>
      <c r="B469" s="1">
        <v>43180</v>
      </c>
      <c r="C469" t="s">
        <v>64</v>
      </c>
      <c r="D469" t="str">
        <f>CONCATENATE("0060021256","")</f>
        <v>0060021256</v>
      </c>
      <c r="E469" t="str">
        <f>CONCATENATE("0121025000666       ","")</f>
        <v>0121025000666       </v>
      </c>
      <c r="F469" t="str">
        <f>CONCATENATE("607312612","")</f>
        <v>607312612</v>
      </c>
      <c r="G469" t="s">
        <v>978</v>
      </c>
      <c r="H469" t="s">
        <v>983</v>
      </c>
      <c r="I469" t="s">
        <v>984</v>
      </c>
      <c r="J469" t="str">
        <f t="shared" si="50"/>
        <v>081211</v>
      </c>
      <c r="K469" t="s">
        <v>22</v>
      </c>
      <c r="L469" t="s">
        <v>23</v>
      </c>
      <c r="M469" t="str">
        <f t="shared" si="51"/>
        <v>1</v>
      </c>
      <c r="N469" t="str">
        <f>CONCATENATE("999682440","")</f>
        <v>999682440</v>
      </c>
      <c r="O469" t="str">
        <f t="shared" si="49"/>
        <v>1 </v>
      </c>
      <c r="P469">
        <v>17.65</v>
      </c>
      <c r="Q469" t="s">
        <v>27</v>
      </c>
    </row>
    <row r="470" spans="1:17" ht="15">
      <c r="A470" t="s">
        <v>17</v>
      </c>
      <c r="B470" s="1">
        <v>43180</v>
      </c>
      <c r="C470" t="s">
        <v>64</v>
      </c>
      <c r="D470" t="str">
        <f>CONCATENATE("0060019859","")</f>
        <v>0060019859</v>
      </c>
      <c r="E470" t="str">
        <f>CONCATENATE("0121025000728       ","")</f>
        <v>0121025000728       </v>
      </c>
      <c r="F470" t="str">
        <f>CONCATENATE("606807305","")</f>
        <v>606807305</v>
      </c>
      <c r="G470" t="s">
        <v>985</v>
      </c>
      <c r="H470" t="s">
        <v>986</v>
      </c>
      <c r="I470" t="s">
        <v>987</v>
      </c>
      <c r="J470" t="str">
        <f t="shared" si="50"/>
        <v>081211</v>
      </c>
      <c r="K470" t="s">
        <v>22</v>
      </c>
      <c r="L470" t="s">
        <v>23</v>
      </c>
      <c r="M470" t="str">
        <f t="shared" si="51"/>
        <v>1</v>
      </c>
      <c r="O470" t="str">
        <f t="shared" si="49"/>
        <v>1 </v>
      </c>
      <c r="P470">
        <v>11.7</v>
      </c>
      <c r="Q470" t="s">
        <v>27</v>
      </c>
    </row>
    <row r="471" spans="1:17" ht="15">
      <c r="A471" t="s">
        <v>17</v>
      </c>
      <c r="B471" s="1">
        <v>43180</v>
      </c>
      <c r="C471" t="s">
        <v>64</v>
      </c>
      <c r="D471" t="str">
        <f>CONCATENATE("0060007057","")</f>
        <v>0060007057</v>
      </c>
      <c r="E471" t="str">
        <f>CONCATENATE("0121025000770       ","")</f>
        <v>0121025000770       </v>
      </c>
      <c r="F471" t="str">
        <f>CONCATENATE("2125128","")</f>
        <v>2125128</v>
      </c>
      <c r="G471" t="s">
        <v>985</v>
      </c>
      <c r="H471" t="s">
        <v>988</v>
      </c>
      <c r="I471" t="s">
        <v>989</v>
      </c>
      <c r="J471" t="str">
        <f t="shared" si="50"/>
        <v>081211</v>
      </c>
      <c r="K471" t="s">
        <v>22</v>
      </c>
      <c r="L471" t="s">
        <v>23</v>
      </c>
      <c r="M471" t="str">
        <f t="shared" si="51"/>
        <v>1</v>
      </c>
      <c r="O471" t="str">
        <f t="shared" si="49"/>
        <v>1 </v>
      </c>
      <c r="P471">
        <v>9.2</v>
      </c>
      <c r="Q471" t="s">
        <v>27</v>
      </c>
    </row>
    <row r="472" spans="1:17" ht="15">
      <c r="A472" t="s">
        <v>17</v>
      </c>
      <c r="B472" s="1">
        <v>43180</v>
      </c>
      <c r="C472" t="s">
        <v>64</v>
      </c>
      <c r="D472" t="str">
        <f>CONCATENATE("0060026194","")</f>
        <v>0060026194</v>
      </c>
      <c r="E472" t="str">
        <f>CONCATENATE("0121025000926       ","")</f>
        <v>0121025000926       </v>
      </c>
      <c r="F472" t="str">
        <f>CONCATENATE("2017026426","")</f>
        <v>2017026426</v>
      </c>
      <c r="G472" t="s">
        <v>964</v>
      </c>
      <c r="H472" t="s">
        <v>990</v>
      </c>
      <c r="I472" t="s">
        <v>991</v>
      </c>
      <c r="J472" t="str">
        <f t="shared" si="50"/>
        <v>081211</v>
      </c>
      <c r="K472" t="s">
        <v>22</v>
      </c>
      <c r="L472" t="s">
        <v>23</v>
      </c>
      <c r="M472" t="str">
        <f t="shared" si="51"/>
        <v>1</v>
      </c>
      <c r="N472" t="str">
        <f>CONCATENATE("974795777","")</f>
        <v>974795777</v>
      </c>
      <c r="O472" t="str">
        <f t="shared" si="49"/>
        <v>1 </v>
      </c>
      <c r="P472">
        <v>12.9</v>
      </c>
      <c r="Q472" t="s">
        <v>27</v>
      </c>
    </row>
    <row r="473" spans="1:17" ht="15">
      <c r="A473" t="s">
        <v>17</v>
      </c>
      <c r="B473" s="1">
        <v>43180</v>
      </c>
      <c r="C473" t="s">
        <v>64</v>
      </c>
      <c r="D473" t="str">
        <f>CONCATENATE("0060018604","")</f>
        <v>0060018604</v>
      </c>
      <c r="E473" t="str">
        <f>CONCATENATE("0121025000947       ","")</f>
        <v>0121025000947       </v>
      </c>
      <c r="F473" t="str">
        <f>CONCATENATE("0606592461","")</f>
        <v>0606592461</v>
      </c>
      <c r="G473" t="s">
        <v>964</v>
      </c>
      <c r="H473" t="s">
        <v>992</v>
      </c>
      <c r="I473" t="s">
        <v>977</v>
      </c>
      <c r="J473" t="str">
        <f t="shared" si="50"/>
        <v>081211</v>
      </c>
      <c r="K473" t="s">
        <v>22</v>
      </c>
      <c r="L473" t="s">
        <v>23</v>
      </c>
      <c r="M473" t="str">
        <f t="shared" si="51"/>
        <v>1</v>
      </c>
      <c r="O473" t="str">
        <f t="shared" si="49"/>
        <v>1 </v>
      </c>
      <c r="P473">
        <v>72.3</v>
      </c>
      <c r="Q473" t="s">
        <v>27</v>
      </c>
    </row>
    <row r="474" spans="1:17" ht="15">
      <c r="A474" t="s">
        <v>17</v>
      </c>
      <c r="B474" s="1">
        <v>43180</v>
      </c>
      <c r="C474" t="s">
        <v>64</v>
      </c>
      <c r="D474" t="str">
        <f>CONCATENATE("0060018613","")</f>
        <v>0060018613</v>
      </c>
      <c r="E474" t="str">
        <f>CONCATENATE("0121025000949       ","")</f>
        <v>0121025000949       </v>
      </c>
      <c r="F474" t="str">
        <f>CONCATENATE("606593534","")</f>
        <v>606593534</v>
      </c>
      <c r="G474" t="s">
        <v>964</v>
      </c>
      <c r="H474" t="s">
        <v>993</v>
      </c>
      <c r="I474" t="s">
        <v>977</v>
      </c>
      <c r="J474" t="str">
        <f t="shared" si="50"/>
        <v>081211</v>
      </c>
      <c r="K474" t="s">
        <v>22</v>
      </c>
      <c r="L474" t="s">
        <v>23</v>
      </c>
      <c r="M474" t="str">
        <f t="shared" si="51"/>
        <v>1</v>
      </c>
      <c r="O474" t="str">
        <f t="shared" si="49"/>
        <v>1 </v>
      </c>
      <c r="P474">
        <v>14.85</v>
      </c>
      <c r="Q474" t="s">
        <v>27</v>
      </c>
    </row>
    <row r="475" spans="1:17" ht="15">
      <c r="A475" t="s">
        <v>17</v>
      </c>
      <c r="B475" s="1">
        <v>43180</v>
      </c>
      <c r="C475" t="s">
        <v>64</v>
      </c>
      <c r="D475" t="str">
        <f>CONCATENATE("0060019225","")</f>
        <v>0060019225</v>
      </c>
      <c r="E475" t="str">
        <f>CONCATENATE("0121025000960       ","")</f>
        <v>0121025000960       </v>
      </c>
      <c r="F475" t="str">
        <f>CONCATENATE("0606597610","")</f>
        <v>0606597610</v>
      </c>
      <c r="G475" t="s">
        <v>964</v>
      </c>
      <c r="H475" t="s">
        <v>994</v>
      </c>
      <c r="I475" t="s">
        <v>995</v>
      </c>
      <c r="J475" t="str">
        <f t="shared" si="50"/>
        <v>081211</v>
      </c>
      <c r="K475" t="s">
        <v>22</v>
      </c>
      <c r="L475" t="s">
        <v>23</v>
      </c>
      <c r="M475" t="str">
        <f t="shared" si="51"/>
        <v>1</v>
      </c>
      <c r="O475" t="str">
        <f t="shared" si="49"/>
        <v>1 </v>
      </c>
      <c r="P475">
        <v>82</v>
      </c>
      <c r="Q475" t="s">
        <v>27</v>
      </c>
    </row>
    <row r="476" spans="1:17" ht="15">
      <c r="A476" t="s">
        <v>17</v>
      </c>
      <c r="B476" s="1">
        <v>43180</v>
      </c>
      <c r="C476" t="s">
        <v>64</v>
      </c>
      <c r="D476" t="str">
        <f>CONCATENATE("0060016041","")</f>
        <v>0060016041</v>
      </c>
      <c r="E476" t="str">
        <f>CONCATENATE("0121025001059       ","")</f>
        <v>0121025001059       </v>
      </c>
      <c r="F476" t="str">
        <f>CONCATENATE("1670994","")</f>
        <v>1670994</v>
      </c>
      <c r="G476" t="s">
        <v>996</v>
      </c>
      <c r="H476" t="s">
        <v>997</v>
      </c>
      <c r="I476" t="s">
        <v>998</v>
      </c>
      <c r="J476" t="str">
        <f t="shared" si="50"/>
        <v>081211</v>
      </c>
      <c r="K476" t="s">
        <v>22</v>
      </c>
      <c r="L476" t="s">
        <v>23</v>
      </c>
      <c r="M476" t="str">
        <f t="shared" si="51"/>
        <v>1</v>
      </c>
      <c r="O476" t="str">
        <f t="shared" si="49"/>
        <v>1 </v>
      </c>
      <c r="P476">
        <v>63.65</v>
      </c>
      <c r="Q476" t="s">
        <v>27</v>
      </c>
    </row>
    <row r="477" spans="1:17" ht="15">
      <c r="A477" t="s">
        <v>17</v>
      </c>
      <c r="B477" s="1">
        <v>43180</v>
      </c>
      <c r="C477" t="s">
        <v>64</v>
      </c>
      <c r="D477" t="str">
        <f>CONCATENATE("0060026565","")</f>
        <v>0060026565</v>
      </c>
      <c r="E477" t="str">
        <f>CONCATENATE("0121025001076       ","")</f>
        <v>0121025001076       </v>
      </c>
      <c r="F477" t="str">
        <f>CONCATENATE("2015022916","")</f>
        <v>2015022916</v>
      </c>
      <c r="G477" t="s">
        <v>985</v>
      </c>
      <c r="H477" t="s">
        <v>999</v>
      </c>
      <c r="I477" t="s">
        <v>1000</v>
      </c>
      <c r="J477" t="str">
        <f t="shared" si="50"/>
        <v>081211</v>
      </c>
      <c r="K477" t="s">
        <v>22</v>
      </c>
      <c r="L477" t="s">
        <v>23</v>
      </c>
      <c r="M477" t="str">
        <f t="shared" si="51"/>
        <v>1</v>
      </c>
      <c r="N477" t="str">
        <f>CONCATENATE("927016367","")</f>
        <v>927016367</v>
      </c>
      <c r="O477" t="str">
        <f t="shared" si="49"/>
        <v>1 </v>
      </c>
      <c r="P477">
        <v>35.95</v>
      </c>
      <c r="Q477" t="s">
        <v>27</v>
      </c>
    </row>
    <row r="478" spans="1:17" ht="15">
      <c r="A478" t="s">
        <v>17</v>
      </c>
      <c r="B478" s="1">
        <v>43180</v>
      </c>
      <c r="C478" t="s">
        <v>64</v>
      </c>
      <c r="D478" t="str">
        <f>CONCATENATE("0060026211","")</f>
        <v>0060026211</v>
      </c>
      <c r="E478" t="str">
        <f>CONCATENATE("0121025001146       ","")</f>
        <v>0121025001146       </v>
      </c>
      <c r="F478" t="str">
        <f>CONCATENATE("2017026430","")</f>
        <v>2017026430</v>
      </c>
      <c r="G478" t="s">
        <v>1001</v>
      </c>
      <c r="H478" t="s">
        <v>1002</v>
      </c>
      <c r="I478" t="s">
        <v>1003</v>
      </c>
      <c r="J478" t="str">
        <f t="shared" si="50"/>
        <v>081211</v>
      </c>
      <c r="K478" t="s">
        <v>22</v>
      </c>
      <c r="L478" t="s">
        <v>23</v>
      </c>
      <c r="M478" t="str">
        <f t="shared" si="51"/>
        <v>1</v>
      </c>
      <c r="N478" t="str">
        <f>CONCATENATE("936367040","")</f>
        <v>936367040</v>
      </c>
      <c r="O478" t="str">
        <f t="shared" si="49"/>
        <v>1 </v>
      </c>
      <c r="P478">
        <v>12.15</v>
      </c>
      <c r="Q478" t="s">
        <v>27</v>
      </c>
    </row>
    <row r="479" spans="1:17" ht="15">
      <c r="A479" t="s">
        <v>17</v>
      </c>
      <c r="B479" s="1">
        <v>43180</v>
      </c>
      <c r="C479" t="s">
        <v>64</v>
      </c>
      <c r="D479" t="str">
        <f>CONCATENATE("0060007117","")</f>
        <v>0060007117</v>
      </c>
      <c r="E479" t="str">
        <f>CONCATENATE("0121025001290       ","")</f>
        <v>0121025001290       </v>
      </c>
      <c r="F479" t="str">
        <f>CONCATENATE("2127462","")</f>
        <v>2127462</v>
      </c>
      <c r="G479" t="s">
        <v>1001</v>
      </c>
      <c r="H479" t="s">
        <v>1004</v>
      </c>
      <c r="I479" t="s">
        <v>1005</v>
      </c>
      <c r="J479" t="str">
        <f t="shared" si="50"/>
        <v>081211</v>
      </c>
      <c r="K479" t="s">
        <v>22</v>
      </c>
      <c r="L479" t="s">
        <v>23</v>
      </c>
      <c r="M479" t="str">
        <f t="shared" si="51"/>
        <v>1</v>
      </c>
      <c r="O479" t="str">
        <f t="shared" si="49"/>
        <v>1 </v>
      </c>
      <c r="P479">
        <v>97</v>
      </c>
      <c r="Q479" t="s">
        <v>27</v>
      </c>
    </row>
    <row r="480" spans="1:17" ht="15">
      <c r="A480" t="s">
        <v>17</v>
      </c>
      <c r="B480" s="1">
        <v>43180</v>
      </c>
      <c r="C480" t="s">
        <v>64</v>
      </c>
      <c r="D480" t="str">
        <f>CONCATENATE("0060007158","")</f>
        <v>0060007158</v>
      </c>
      <c r="E480" t="str">
        <f>CONCATENATE("0121025001670       ","")</f>
        <v>0121025001670       </v>
      </c>
      <c r="F480" t="str">
        <f>CONCATENATE("605350442","")</f>
        <v>605350442</v>
      </c>
      <c r="G480" t="s">
        <v>964</v>
      </c>
      <c r="H480" t="s">
        <v>1006</v>
      </c>
      <c r="I480" t="s">
        <v>1005</v>
      </c>
      <c r="J480" t="str">
        <f t="shared" si="50"/>
        <v>081211</v>
      </c>
      <c r="K480" t="s">
        <v>22</v>
      </c>
      <c r="L480" t="s">
        <v>23</v>
      </c>
      <c r="M480" t="str">
        <f t="shared" si="51"/>
        <v>1</v>
      </c>
      <c r="O480" t="str">
        <f t="shared" si="49"/>
        <v>1 </v>
      </c>
      <c r="P480">
        <v>36.4</v>
      </c>
      <c r="Q480" t="s">
        <v>27</v>
      </c>
    </row>
    <row r="481" spans="1:17" ht="15">
      <c r="A481" t="s">
        <v>17</v>
      </c>
      <c r="B481" s="1">
        <v>43180</v>
      </c>
      <c r="C481" t="s">
        <v>64</v>
      </c>
      <c r="D481" t="str">
        <f>CONCATENATE("0060007159","")</f>
        <v>0060007159</v>
      </c>
      <c r="E481" t="str">
        <f>CONCATENATE("0121025001680       ","")</f>
        <v>0121025001680       </v>
      </c>
      <c r="F481" t="str">
        <f>CONCATENATE("2127480","")</f>
        <v>2127480</v>
      </c>
      <c r="G481" t="s">
        <v>964</v>
      </c>
      <c r="H481" t="s">
        <v>1007</v>
      </c>
      <c r="I481" t="s">
        <v>1005</v>
      </c>
      <c r="J481" t="str">
        <f t="shared" si="50"/>
        <v>081211</v>
      </c>
      <c r="K481" t="s">
        <v>22</v>
      </c>
      <c r="L481" t="s">
        <v>23</v>
      </c>
      <c r="M481" t="str">
        <f t="shared" si="51"/>
        <v>1</v>
      </c>
      <c r="O481" t="str">
        <f t="shared" si="49"/>
        <v>1 </v>
      </c>
      <c r="P481">
        <v>26.2</v>
      </c>
      <c r="Q481" t="s">
        <v>27</v>
      </c>
    </row>
    <row r="482" spans="1:17" ht="15">
      <c r="A482" t="s">
        <v>17</v>
      </c>
      <c r="B482" s="1">
        <v>43180</v>
      </c>
      <c r="C482" t="s">
        <v>64</v>
      </c>
      <c r="D482" t="str">
        <f>CONCATENATE("0060007163","")</f>
        <v>0060007163</v>
      </c>
      <c r="E482" t="str">
        <f>CONCATENATE("0121025001722       ","")</f>
        <v>0121025001722       </v>
      </c>
      <c r="F482" t="str">
        <f>CONCATENATE("605880481","")</f>
        <v>605880481</v>
      </c>
      <c r="G482" t="s">
        <v>1001</v>
      </c>
      <c r="H482" t="s">
        <v>1008</v>
      </c>
      <c r="I482" t="s">
        <v>1009</v>
      </c>
      <c r="J482" t="str">
        <f t="shared" si="50"/>
        <v>081211</v>
      </c>
      <c r="K482" t="s">
        <v>22</v>
      </c>
      <c r="L482" t="s">
        <v>23</v>
      </c>
      <c r="M482" t="str">
        <f t="shared" si="51"/>
        <v>1</v>
      </c>
      <c r="O482" t="str">
        <f t="shared" si="49"/>
        <v>1 </v>
      </c>
      <c r="P482">
        <v>68.65</v>
      </c>
      <c r="Q482" t="s">
        <v>27</v>
      </c>
    </row>
    <row r="483" spans="1:17" ht="15">
      <c r="A483" t="s">
        <v>17</v>
      </c>
      <c r="B483" s="1">
        <v>43180</v>
      </c>
      <c r="C483" t="s">
        <v>64</v>
      </c>
      <c r="D483" t="str">
        <f>CONCATENATE("0060019388","")</f>
        <v>0060019388</v>
      </c>
      <c r="E483" t="str">
        <f>CONCATENATE("0121025001737       ","")</f>
        <v>0121025001737       </v>
      </c>
      <c r="F483" t="str">
        <f>CONCATENATE("606675249","")</f>
        <v>606675249</v>
      </c>
      <c r="G483" t="s">
        <v>1001</v>
      </c>
      <c r="H483" t="s">
        <v>1010</v>
      </c>
      <c r="I483" t="s">
        <v>1011</v>
      </c>
      <c r="J483" t="str">
        <f t="shared" si="50"/>
        <v>081211</v>
      </c>
      <c r="K483" t="s">
        <v>22</v>
      </c>
      <c r="L483" t="s">
        <v>23</v>
      </c>
      <c r="M483" t="str">
        <f t="shared" si="51"/>
        <v>1</v>
      </c>
      <c r="O483" t="str">
        <f t="shared" si="49"/>
        <v>1 </v>
      </c>
      <c r="P483">
        <v>15.3</v>
      </c>
      <c r="Q483" t="s">
        <v>27</v>
      </c>
    </row>
    <row r="484" spans="1:17" ht="15">
      <c r="A484" t="s">
        <v>17</v>
      </c>
      <c r="B484" s="1">
        <v>43180</v>
      </c>
      <c r="C484" t="s">
        <v>64</v>
      </c>
      <c r="D484" t="str">
        <f>CONCATENATE("0060026427","")</f>
        <v>0060026427</v>
      </c>
      <c r="E484" t="str">
        <f>CONCATENATE("0121025001746       ","")</f>
        <v>0121025001746       </v>
      </c>
      <c r="F484" t="str">
        <f>CONCATENATE("2015019899","")</f>
        <v>2015019899</v>
      </c>
      <c r="G484" t="s">
        <v>985</v>
      </c>
      <c r="H484" t="s">
        <v>1012</v>
      </c>
      <c r="I484" t="s">
        <v>1013</v>
      </c>
      <c r="J484" t="str">
        <f t="shared" si="50"/>
        <v>081211</v>
      </c>
      <c r="K484" t="s">
        <v>22</v>
      </c>
      <c r="L484" t="s">
        <v>23</v>
      </c>
      <c r="M484" t="str">
        <f t="shared" si="51"/>
        <v>1</v>
      </c>
      <c r="N484" t="str">
        <f>CONCATENATE("939532255","")</f>
        <v>939532255</v>
      </c>
      <c r="O484" t="str">
        <f t="shared" si="49"/>
        <v>1 </v>
      </c>
      <c r="P484">
        <v>11.9</v>
      </c>
      <c r="Q484" t="s">
        <v>27</v>
      </c>
    </row>
    <row r="485" spans="1:17" ht="15">
      <c r="A485" t="s">
        <v>17</v>
      </c>
      <c r="B485" s="1">
        <v>43180</v>
      </c>
      <c r="C485" t="s">
        <v>64</v>
      </c>
      <c r="D485" t="str">
        <f>CONCATENATE("0060011484","")</f>
        <v>0060011484</v>
      </c>
      <c r="E485" t="str">
        <f>CONCATENATE("0121025001863       ","")</f>
        <v>0121025001863       </v>
      </c>
      <c r="F485" t="str">
        <f>CONCATENATE("605750697","")</f>
        <v>605750697</v>
      </c>
      <c r="G485" t="s">
        <v>985</v>
      </c>
      <c r="H485" t="s">
        <v>1014</v>
      </c>
      <c r="I485" t="s">
        <v>1015</v>
      </c>
      <c r="J485" t="str">
        <f aca="true" t="shared" si="52" ref="J485:J490">CONCATENATE("081211","")</f>
        <v>081211</v>
      </c>
      <c r="K485" t="s">
        <v>22</v>
      </c>
      <c r="L485" t="s">
        <v>23</v>
      </c>
      <c r="M485" t="str">
        <f t="shared" si="51"/>
        <v>1</v>
      </c>
      <c r="O485" t="str">
        <f t="shared" si="49"/>
        <v>1 </v>
      </c>
      <c r="P485">
        <v>21.35</v>
      </c>
      <c r="Q485" t="s">
        <v>27</v>
      </c>
    </row>
    <row r="486" spans="1:17" ht="15">
      <c r="A486" t="s">
        <v>17</v>
      </c>
      <c r="B486" s="1">
        <v>43180</v>
      </c>
      <c r="C486" t="s">
        <v>64</v>
      </c>
      <c r="D486" t="str">
        <f>CONCATENATE("0060019353","")</f>
        <v>0060019353</v>
      </c>
      <c r="E486" t="str">
        <f>CONCATENATE("0121025001866       ","")</f>
        <v>0121025001866       </v>
      </c>
      <c r="F486" t="str">
        <f>CONCATENATE("606668643","")</f>
        <v>606668643</v>
      </c>
      <c r="G486" t="s">
        <v>985</v>
      </c>
      <c r="H486" t="s">
        <v>1016</v>
      </c>
      <c r="I486" t="s">
        <v>1017</v>
      </c>
      <c r="J486" t="str">
        <f t="shared" si="52"/>
        <v>081211</v>
      </c>
      <c r="K486" t="s">
        <v>22</v>
      </c>
      <c r="L486" t="s">
        <v>23</v>
      </c>
      <c r="M486" t="str">
        <f t="shared" si="51"/>
        <v>1</v>
      </c>
      <c r="O486" t="str">
        <f t="shared" si="49"/>
        <v>1 </v>
      </c>
      <c r="P486">
        <v>85.75</v>
      </c>
      <c r="Q486" t="s">
        <v>27</v>
      </c>
    </row>
    <row r="487" spans="1:17" ht="15">
      <c r="A487" t="s">
        <v>17</v>
      </c>
      <c r="B487" s="1">
        <v>43180</v>
      </c>
      <c r="C487" t="s">
        <v>64</v>
      </c>
      <c r="D487" t="str">
        <f>CONCATENATE("0060022186","")</f>
        <v>0060022186</v>
      </c>
      <c r="E487" t="str">
        <f>CONCATENATE("0121025001868       ","")</f>
        <v>0121025001868       </v>
      </c>
      <c r="F487" t="str">
        <f>CONCATENATE("607548945","")</f>
        <v>607548945</v>
      </c>
      <c r="G487" t="s">
        <v>985</v>
      </c>
      <c r="H487" t="s">
        <v>1018</v>
      </c>
      <c r="I487" t="s">
        <v>1019</v>
      </c>
      <c r="J487" t="str">
        <f t="shared" si="52"/>
        <v>081211</v>
      </c>
      <c r="K487" t="s">
        <v>22</v>
      </c>
      <c r="L487" t="s">
        <v>23</v>
      </c>
      <c r="M487" t="str">
        <f t="shared" si="51"/>
        <v>1</v>
      </c>
      <c r="N487" t="str">
        <f>CONCATENATE("953490140","")</f>
        <v>953490140</v>
      </c>
      <c r="O487" t="str">
        <f t="shared" si="49"/>
        <v>1 </v>
      </c>
      <c r="P487">
        <v>12.05</v>
      </c>
      <c r="Q487" t="s">
        <v>27</v>
      </c>
    </row>
    <row r="488" spans="1:17" ht="15">
      <c r="A488" t="s">
        <v>17</v>
      </c>
      <c r="B488" s="1">
        <v>43180</v>
      </c>
      <c r="C488" t="s">
        <v>64</v>
      </c>
      <c r="D488" t="str">
        <f>CONCATENATE("0060016354","")</f>
        <v>0060016354</v>
      </c>
      <c r="E488" t="str">
        <f>CONCATENATE("0121025001905       ","")</f>
        <v>0121025001905       </v>
      </c>
      <c r="F488" t="str">
        <f>CONCATENATE("1737668","")</f>
        <v>1737668</v>
      </c>
      <c r="G488" t="s">
        <v>985</v>
      </c>
      <c r="H488" t="s">
        <v>1020</v>
      </c>
      <c r="I488" t="s">
        <v>1021</v>
      </c>
      <c r="J488" t="str">
        <f t="shared" si="52"/>
        <v>081211</v>
      </c>
      <c r="K488" t="s">
        <v>22</v>
      </c>
      <c r="L488" t="s">
        <v>23</v>
      </c>
      <c r="M488" t="str">
        <f t="shared" si="51"/>
        <v>1</v>
      </c>
      <c r="O488" t="str">
        <f t="shared" si="49"/>
        <v>1 </v>
      </c>
      <c r="P488">
        <v>74.05</v>
      </c>
      <c r="Q488" t="s">
        <v>27</v>
      </c>
    </row>
    <row r="489" spans="1:17" ht="15">
      <c r="A489" t="s">
        <v>17</v>
      </c>
      <c r="B489" s="1">
        <v>43180</v>
      </c>
      <c r="C489" t="s">
        <v>64</v>
      </c>
      <c r="D489" t="str">
        <f>CONCATENATE("0060009193","")</f>
        <v>0060009193</v>
      </c>
      <c r="E489" t="str">
        <f>CONCATENATE("0121026000004       ","")</f>
        <v>0121026000004       </v>
      </c>
      <c r="F489" t="str">
        <f>CONCATENATE("607656119","")</f>
        <v>607656119</v>
      </c>
      <c r="G489" t="s">
        <v>970</v>
      </c>
      <c r="H489" t="s">
        <v>1022</v>
      </c>
      <c r="I489" t="s">
        <v>1023</v>
      </c>
      <c r="J489" t="str">
        <f t="shared" si="52"/>
        <v>081211</v>
      </c>
      <c r="K489" t="s">
        <v>22</v>
      </c>
      <c r="L489" t="s">
        <v>23</v>
      </c>
      <c r="M489" t="str">
        <f t="shared" si="51"/>
        <v>1</v>
      </c>
      <c r="O489" t="str">
        <f t="shared" si="49"/>
        <v>1 </v>
      </c>
      <c r="P489">
        <v>17.7</v>
      </c>
      <c r="Q489" t="s">
        <v>27</v>
      </c>
    </row>
    <row r="490" spans="1:17" ht="15">
      <c r="A490" t="s">
        <v>17</v>
      </c>
      <c r="B490" s="1">
        <v>43180</v>
      </c>
      <c r="C490" t="s">
        <v>64</v>
      </c>
      <c r="D490" t="str">
        <f>CONCATENATE("0060022207","")</f>
        <v>0060022207</v>
      </c>
      <c r="E490" t="str">
        <f>CONCATENATE("0121026000019       ","")</f>
        <v>0121026000019       </v>
      </c>
      <c r="F490" t="str">
        <f>CONCATENATE("607547503","")</f>
        <v>607547503</v>
      </c>
      <c r="G490" t="s">
        <v>970</v>
      </c>
      <c r="H490" t="s">
        <v>1024</v>
      </c>
      <c r="I490" t="s">
        <v>1025</v>
      </c>
      <c r="J490" t="str">
        <f t="shared" si="52"/>
        <v>081211</v>
      </c>
      <c r="K490" t="s">
        <v>22</v>
      </c>
      <c r="L490" t="s">
        <v>23</v>
      </c>
      <c r="M490" t="str">
        <f t="shared" si="51"/>
        <v>1</v>
      </c>
      <c r="N490" t="str">
        <f>CONCATENATE("986820402","")</f>
        <v>986820402</v>
      </c>
      <c r="O490" t="str">
        <f t="shared" si="49"/>
        <v>1 </v>
      </c>
      <c r="P490">
        <v>11.25</v>
      </c>
      <c r="Q490" t="s">
        <v>27</v>
      </c>
    </row>
    <row r="491" spans="1:17" ht="15">
      <c r="A491" t="s">
        <v>17</v>
      </c>
      <c r="B491" s="1">
        <v>43180</v>
      </c>
      <c r="C491" t="s">
        <v>18</v>
      </c>
      <c r="D491" t="str">
        <f>CONCATENATE("0060010709","")</f>
        <v>0060010709</v>
      </c>
      <c r="E491" t="str">
        <f>CONCATENATE("0121026000125       ","")</f>
        <v>0121026000125       </v>
      </c>
      <c r="F491" t="str">
        <f>CONCATENATE("606809132","")</f>
        <v>606809132</v>
      </c>
      <c r="G491" t="s">
        <v>970</v>
      </c>
      <c r="H491" t="s">
        <v>1026</v>
      </c>
      <c r="I491" t="s">
        <v>1027</v>
      </c>
      <c r="J491" t="str">
        <f>CONCATENATE("080107","")</f>
        <v>080107</v>
      </c>
      <c r="K491" t="s">
        <v>22</v>
      </c>
      <c r="L491" t="s">
        <v>23</v>
      </c>
      <c r="M491" t="str">
        <f t="shared" si="51"/>
        <v>1</v>
      </c>
      <c r="O491" t="str">
        <f t="shared" si="49"/>
        <v>1 </v>
      </c>
      <c r="P491">
        <v>254.85</v>
      </c>
      <c r="Q491" t="s">
        <v>27</v>
      </c>
    </row>
    <row r="492" spans="1:17" ht="15">
      <c r="A492" t="s">
        <v>17</v>
      </c>
      <c r="B492" s="1">
        <v>43180</v>
      </c>
      <c r="C492" t="s">
        <v>64</v>
      </c>
      <c r="D492" t="str">
        <f>CONCATENATE("0060018298","")</f>
        <v>0060018298</v>
      </c>
      <c r="E492" t="str">
        <f>CONCATENATE("0121026000155       ","")</f>
        <v>0121026000155       </v>
      </c>
      <c r="F492" t="str">
        <f>CONCATENATE("2130572","")</f>
        <v>2130572</v>
      </c>
      <c r="G492" t="s">
        <v>978</v>
      </c>
      <c r="H492" t="s">
        <v>1028</v>
      </c>
      <c r="I492" t="s">
        <v>1029</v>
      </c>
      <c r="J492" t="str">
        <f aca="true" t="shared" si="53" ref="J492:J505">CONCATENATE("081211","")</f>
        <v>081211</v>
      </c>
      <c r="K492" t="s">
        <v>22</v>
      </c>
      <c r="L492" t="s">
        <v>23</v>
      </c>
      <c r="M492" t="str">
        <f>CONCATENATE("3","")</f>
        <v>3</v>
      </c>
      <c r="O492" t="str">
        <f t="shared" si="49"/>
        <v>1 </v>
      </c>
      <c r="P492">
        <v>306</v>
      </c>
      <c r="Q492" t="s">
        <v>24</v>
      </c>
    </row>
    <row r="493" spans="1:17" ht="15">
      <c r="A493" t="s">
        <v>17</v>
      </c>
      <c r="B493" s="1">
        <v>43180</v>
      </c>
      <c r="C493" t="s">
        <v>64</v>
      </c>
      <c r="D493" t="str">
        <f>CONCATENATE("0060007235","")</f>
        <v>0060007235</v>
      </c>
      <c r="E493" t="str">
        <f>CONCATENATE("0121026000207       ","")</f>
        <v>0121026000207       </v>
      </c>
      <c r="F493" t="str">
        <f>CONCATENATE("00000000961","")</f>
        <v>00000000961</v>
      </c>
      <c r="G493" t="s">
        <v>970</v>
      </c>
      <c r="H493" t="s">
        <v>1030</v>
      </c>
      <c r="I493" t="s">
        <v>1031</v>
      </c>
      <c r="J493" t="str">
        <f t="shared" si="53"/>
        <v>081211</v>
      </c>
      <c r="K493" t="s">
        <v>22</v>
      </c>
      <c r="L493" t="s">
        <v>23</v>
      </c>
      <c r="M493" t="str">
        <f>CONCATENATE("1","")</f>
        <v>1</v>
      </c>
      <c r="O493" t="str">
        <f t="shared" si="49"/>
        <v>1 </v>
      </c>
      <c r="P493">
        <v>28.75</v>
      </c>
      <c r="Q493" t="s">
        <v>27</v>
      </c>
    </row>
    <row r="494" spans="1:17" ht="15">
      <c r="A494" t="s">
        <v>17</v>
      </c>
      <c r="B494" s="1">
        <v>43180</v>
      </c>
      <c r="C494" t="s">
        <v>64</v>
      </c>
      <c r="D494" t="str">
        <f>CONCATENATE("0060010983","")</f>
        <v>0060010983</v>
      </c>
      <c r="E494" t="str">
        <f>CONCATENATE("0121026000350       ","")</f>
        <v>0121026000350       </v>
      </c>
      <c r="F494" t="str">
        <f>CONCATENATE("607540783","")</f>
        <v>607540783</v>
      </c>
      <c r="G494" t="s">
        <v>970</v>
      </c>
      <c r="H494" t="s">
        <v>1032</v>
      </c>
      <c r="I494" t="s">
        <v>1033</v>
      </c>
      <c r="J494" t="str">
        <f t="shared" si="53"/>
        <v>081211</v>
      </c>
      <c r="K494" t="s">
        <v>22</v>
      </c>
      <c r="L494" t="s">
        <v>23</v>
      </c>
      <c r="M494" t="str">
        <f>CONCATENATE("1","")</f>
        <v>1</v>
      </c>
      <c r="O494" t="str">
        <f t="shared" si="49"/>
        <v>1 </v>
      </c>
      <c r="P494">
        <v>197.55</v>
      </c>
      <c r="Q494" t="s">
        <v>27</v>
      </c>
    </row>
    <row r="495" spans="1:17" ht="15">
      <c r="A495" t="s">
        <v>17</v>
      </c>
      <c r="B495" s="1">
        <v>43180</v>
      </c>
      <c r="C495" t="s">
        <v>64</v>
      </c>
      <c r="D495" t="str">
        <f>CONCATENATE("0060020537","")</f>
        <v>0060020537</v>
      </c>
      <c r="E495" t="str">
        <f>CONCATENATE("0121026000428       ","")</f>
        <v>0121026000428       </v>
      </c>
      <c r="F495" t="str">
        <f>CONCATENATE("606851925","")</f>
        <v>606851925</v>
      </c>
      <c r="G495" t="s">
        <v>996</v>
      </c>
      <c r="H495" t="s">
        <v>1034</v>
      </c>
      <c r="I495" t="s">
        <v>1035</v>
      </c>
      <c r="J495" t="str">
        <f t="shared" si="53"/>
        <v>081211</v>
      </c>
      <c r="K495" t="s">
        <v>22</v>
      </c>
      <c r="L495" t="s">
        <v>23</v>
      </c>
      <c r="M495" t="str">
        <f>CONCATENATE("1","")</f>
        <v>1</v>
      </c>
      <c r="O495" t="str">
        <f t="shared" si="49"/>
        <v>1 </v>
      </c>
      <c r="P495">
        <v>18.1</v>
      </c>
      <c r="Q495" t="s">
        <v>27</v>
      </c>
    </row>
    <row r="496" spans="1:17" ht="15">
      <c r="A496" t="s">
        <v>17</v>
      </c>
      <c r="B496" s="1">
        <v>43180</v>
      </c>
      <c r="C496" t="s">
        <v>64</v>
      </c>
      <c r="D496" t="str">
        <f>CONCATENATE("0060022127","")</f>
        <v>0060022127</v>
      </c>
      <c r="E496" t="str">
        <f>CONCATENATE("0121026000520       ","")</f>
        <v>0121026000520       </v>
      </c>
      <c r="F496" t="str">
        <f>CONCATENATE("607295428","")</f>
        <v>607295428</v>
      </c>
      <c r="G496" t="s">
        <v>996</v>
      </c>
      <c r="H496" t="s">
        <v>1036</v>
      </c>
      <c r="I496" t="s">
        <v>1037</v>
      </c>
      <c r="J496" t="str">
        <f t="shared" si="53"/>
        <v>081211</v>
      </c>
      <c r="K496" t="s">
        <v>22</v>
      </c>
      <c r="L496" t="s">
        <v>23</v>
      </c>
      <c r="M496" t="str">
        <f>CONCATENATE("1","")</f>
        <v>1</v>
      </c>
      <c r="N496" t="str">
        <f>CONCATENATE("977234550","")</f>
        <v>977234550</v>
      </c>
      <c r="O496" t="str">
        <f t="shared" si="49"/>
        <v>1 </v>
      </c>
      <c r="P496">
        <v>11.7</v>
      </c>
      <c r="Q496" t="s">
        <v>27</v>
      </c>
    </row>
    <row r="497" spans="1:17" ht="15">
      <c r="A497" t="s">
        <v>17</v>
      </c>
      <c r="B497" s="1">
        <v>43180</v>
      </c>
      <c r="C497" t="s">
        <v>64</v>
      </c>
      <c r="D497" t="str">
        <f>CONCATENATE("0060019025","")</f>
        <v>0060019025</v>
      </c>
      <c r="E497" t="str">
        <f>CONCATENATE("0121026000900       ","")</f>
        <v>0121026000900       </v>
      </c>
      <c r="F497" t="str">
        <f>CONCATENATE("0606591159","")</f>
        <v>0606591159</v>
      </c>
      <c r="G497" t="s">
        <v>996</v>
      </c>
      <c r="H497" t="s">
        <v>1038</v>
      </c>
      <c r="I497" t="s">
        <v>1039</v>
      </c>
      <c r="J497" t="str">
        <f t="shared" si="53"/>
        <v>081211</v>
      </c>
      <c r="K497" t="s">
        <v>22</v>
      </c>
      <c r="L497" t="s">
        <v>23</v>
      </c>
      <c r="M497" t="str">
        <f>CONCATENATE("1","")</f>
        <v>1</v>
      </c>
      <c r="O497" t="str">
        <f t="shared" si="49"/>
        <v>1 </v>
      </c>
      <c r="P497">
        <v>108.9</v>
      </c>
      <c r="Q497" t="s">
        <v>27</v>
      </c>
    </row>
    <row r="498" spans="1:17" ht="15">
      <c r="A498" t="s">
        <v>17</v>
      </c>
      <c r="B498" s="1">
        <v>43180</v>
      </c>
      <c r="C498" t="s">
        <v>64</v>
      </c>
      <c r="D498" t="str">
        <f>CONCATENATE("0060020879","")</f>
        <v>0060020879</v>
      </c>
      <c r="E498" t="str">
        <f>CONCATENATE("0121026001750       ","")</f>
        <v>0121026001750       </v>
      </c>
      <c r="F498" t="str">
        <f>CONCATENATE("607431188","")</f>
        <v>607431188</v>
      </c>
      <c r="G498" t="s">
        <v>996</v>
      </c>
      <c r="H498" t="s">
        <v>1040</v>
      </c>
      <c r="I498" t="s">
        <v>1041</v>
      </c>
      <c r="J498" t="str">
        <f t="shared" si="53"/>
        <v>081211</v>
      </c>
      <c r="K498" t="s">
        <v>22</v>
      </c>
      <c r="L498" t="s">
        <v>23</v>
      </c>
      <c r="M498" t="str">
        <f>CONCATENATE("3","")</f>
        <v>3</v>
      </c>
      <c r="O498" t="str">
        <f t="shared" si="49"/>
        <v>1 </v>
      </c>
      <c r="P498">
        <v>115.45</v>
      </c>
      <c r="Q498" t="s">
        <v>24</v>
      </c>
    </row>
    <row r="499" spans="1:17" ht="15">
      <c r="A499" t="s">
        <v>17</v>
      </c>
      <c r="B499" s="1">
        <v>43180</v>
      </c>
      <c r="C499" t="s">
        <v>64</v>
      </c>
      <c r="D499" t="str">
        <f>CONCATENATE("0060009510","")</f>
        <v>0060009510</v>
      </c>
      <c r="E499" t="str">
        <f>CONCATENATE("0121027000030       ","")</f>
        <v>0121027000030       </v>
      </c>
      <c r="F499" t="str">
        <f>CONCATENATE("605880480","")</f>
        <v>605880480</v>
      </c>
      <c r="G499" t="s">
        <v>1042</v>
      </c>
      <c r="H499" t="s">
        <v>1043</v>
      </c>
      <c r="I499" t="s">
        <v>1044</v>
      </c>
      <c r="J499" t="str">
        <f t="shared" si="53"/>
        <v>081211</v>
      </c>
      <c r="K499" t="s">
        <v>22</v>
      </c>
      <c r="L499" t="s">
        <v>23</v>
      </c>
      <c r="M499" t="str">
        <f>CONCATENATE("1","")</f>
        <v>1</v>
      </c>
      <c r="O499" t="str">
        <f t="shared" si="49"/>
        <v>1 </v>
      </c>
      <c r="P499">
        <v>62.1</v>
      </c>
      <c r="Q499" t="s">
        <v>27</v>
      </c>
    </row>
    <row r="500" spans="1:17" ht="15">
      <c r="A500" t="s">
        <v>17</v>
      </c>
      <c r="B500" s="1">
        <v>43180</v>
      </c>
      <c r="C500" t="s">
        <v>64</v>
      </c>
      <c r="D500" t="str">
        <f>CONCATENATE("0060012113","")</f>
        <v>0060012113</v>
      </c>
      <c r="E500" t="str">
        <f>CONCATENATE("0121027000060       ","")</f>
        <v>0121027000060       </v>
      </c>
      <c r="F500" t="str">
        <f>CONCATENATE("607429207","")</f>
        <v>607429207</v>
      </c>
      <c r="G500" t="s">
        <v>1042</v>
      </c>
      <c r="H500" t="s">
        <v>1045</v>
      </c>
      <c r="I500" t="s">
        <v>1046</v>
      </c>
      <c r="J500" t="str">
        <f t="shared" si="53"/>
        <v>081211</v>
      </c>
      <c r="K500" t="s">
        <v>22</v>
      </c>
      <c r="L500" t="s">
        <v>23</v>
      </c>
      <c r="M500" t="str">
        <f>CONCATENATE("3","")</f>
        <v>3</v>
      </c>
      <c r="O500" t="str">
        <f t="shared" si="49"/>
        <v>1 </v>
      </c>
      <c r="P500">
        <v>13.15</v>
      </c>
      <c r="Q500" t="s">
        <v>24</v>
      </c>
    </row>
    <row r="501" spans="1:17" ht="15">
      <c r="A501" t="s">
        <v>17</v>
      </c>
      <c r="B501" s="1">
        <v>43180</v>
      </c>
      <c r="C501" t="s">
        <v>64</v>
      </c>
      <c r="D501" t="str">
        <f>CONCATENATE("0060020731","")</f>
        <v>0060020731</v>
      </c>
      <c r="E501" t="str">
        <f>CONCATENATE("0121027000105       ","")</f>
        <v>0121027000105       </v>
      </c>
      <c r="F501" t="str">
        <f>CONCATENATE("607432024","")</f>
        <v>607432024</v>
      </c>
      <c r="G501" t="s">
        <v>1042</v>
      </c>
      <c r="H501" t="s">
        <v>1047</v>
      </c>
      <c r="I501" t="s">
        <v>1048</v>
      </c>
      <c r="J501" t="str">
        <f t="shared" si="53"/>
        <v>081211</v>
      </c>
      <c r="K501" t="s">
        <v>22</v>
      </c>
      <c r="L501" t="s">
        <v>23</v>
      </c>
      <c r="M501" t="str">
        <f>CONCATENATE("3","")</f>
        <v>3</v>
      </c>
      <c r="N501" t="str">
        <f>CONCATENATE("984933026","")</f>
        <v>984933026</v>
      </c>
      <c r="O501" t="str">
        <f t="shared" si="49"/>
        <v>1 </v>
      </c>
      <c r="P501">
        <v>14.6</v>
      </c>
      <c r="Q501" t="s">
        <v>24</v>
      </c>
    </row>
    <row r="502" spans="1:17" ht="15">
      <c r="A502" t="s">
        <v>17</v>
      </c>
      <c r="B502" s="1">
        <v>43180</v>
      </c>
      <c r="C502" t="s">
        <v>64</v>
      </c>
      <c r="D502" t="str">
        <f>CONCATENATE("0060020252","")</f>
        <v>0060020252</v>
      </c>
      <c r="E502" t="str">
        <f>CONCATENATE("0121027000115       ","")</f>
        <v>0121027000115       </v>
      </c>
      <c r="F502" t="str">
        <f>CONCATENATE("607429619","")</f>
        <v>607429619</v>
      </c>
      <c r="G502" t="s">
        <v>1049</v>
      </c>
      <c r="H502" t="s">
        <v>1047</v>
      </c>
      <c r="I502" t="s">
        <v>1050</v>
      </c>
      <c r="J502" t="str">
        <f t="shared" si="53"/>
        <v>081211</v>
      </c>
      <c r="K502" t="s">
        <v>22</v>
      </c>
      <c r="L502" t="s">
        <v>23</v>
      </c>
      <c r="M502" t="str">
        <f>CONCATENATE("3","")</f>
        <v>3</v>
      </c>
      <c r="O502" t="str">
        <f t="shared" si="49"/>
        <v>1 </v>
      </c>
      <c r="P502">
        <v>46.65</v>
      </c>
      <c r="Q502" t="s">
        <v>24</v>
      </c>
    </row>
    <row r="503" spans="1:17" ht="15">
      <c r="A503" t="s">
        <v>17</v>
      </c>
      <c r="B503" s="1">
        <v>43180</v>
      </c>
      <c r="C503" t="s">
        <v>64</v>
      </c>
      <c r="D503" t="str">
        <f>CONCATENATE("0060022132","")</f>
        <v>0060022132</v>
      </c>
      <c r="E503" t="str">
        <f>CONCATENATE("0121027000655       ","")</f>
        <v>0121027000655       </v>
      </c>
      <c r="F503" t="str">
        <f>CONCATENATE("607641965","")</f>
        <v>607641965</v>
      </c>
      <c r="G503" t="s">
        <v>1049</v>
      </c>
      <c r="H503" t="s">
        <v>1051</v>
      </c>
      <c r="I503" t="s">
        <v>1052</v>
      </c>
      <c r="J503" t="str">
        <f t="shared" si="53"/>
        <v>081211</v>
      </c>
      <c r="K503" t="s">
        <v>22</v>
      </c>
      <c r="L503" t="s">
        <v>23</v>
      </c>
      <c r="M503" t="str">
        <f>CONCATENATE("3","")</f>
        <v>3</v>
      </c>
      <c r="N503" t="str">
        <f>CONCATENATE("974213445","")</f>
        <v>974213445</v>
      </c>
      <c r="O503" t="str">
        <f t="shared" si="49"/>
        <v>1 </v>
      </c>
      <c r="P503">
        <v>138.75</v>
      </c>
      <c r="Q503" t="s">
        <v>24</v>
      </c>
    </row>
    <row r="504" spans="1:17" ht="15">
      <c r="A504" t="s">
        <v>17</v>
      </c>
      <c r="B504" s="1">
        <v>43180</v>
      </c>
      <c r="C504" t="s">
        <v>64</v>
      </c>
      <c r="D504" t="str">
        <f>CONCATENATE("0060010321","")</f>
        <v>0060010321</v>
      </c>
      <c r="E504" t="str">
        <f>CONCATENATE("0121028000030       ","")</f>
        <v>0121028000030       </v>
      </c>
      <c r="F504" t="str">
        <f>CONCATENATE("606810555","")</f>
        <v>606810555</v>
      </c>
      <c r="G504" t="s">
        <v>1053</v>
      </c>
      <c r="H504" t="s">
        <v>1054</v>
      </c>
      <c r="I504" t="s">
        <v>1055</v>
      </c>
      <c r="J504" t="str">
        <f t="shared" si="53"/>
        <v>081211</v>
      </c>
      <c r="K504" t="s">
        <v>22</v>
      </c>
      <c r="L504" t="s">
        <v>23</v>
      </c>
      <c r="M504" t="str">
        <f aca="true" t="shared" si="54" ref="M504:M509">CONCATENATE("1","")</f>
        <v>1</v>
      </c>
      <c r="O504" t="str">
        <f t="shared" si="49"/>
        <v>1 </v>
      </c>
      <c r="P504">
        <v>24.3</v>
      </c>
      <c r="Q504" t="s">
        <v>27</v>
      </c>
    </row>
    <row r="505" spans="1:17" ht="15">
      <c r="A505" t="s">
        <v>17</v>
      </c>
      <c r="B505" s="1">
        <v>43180</v>
      </c>
      <c r="C505" t="s">
        <v>64</v>
      </c>
      <c r="D505" t="str">
        <f>CONCATENATE("0060018266","")</f>
        <v>0060018266</v>
      </c>
      <c r="E505" t="str">
        <f>CONCATENATE("0121028000041       ","")</f>
        <v>0121028000041       </v>
      </c>
      <c r="F505" t="str">
        <f>CONCATENATE("2188686","")</f>
        <v>2188686</v>
      </c>
      <c r="G505" t="s">
        <v>1053</v>
      </c>
      <c r="H505" t="s">
        <v>1056</v>
      </c>
      <c r="I505" t="s">
        <v>1057</v>
      </c>
      <c r="J505" t="str">
        <f t="shared" si="53"/>
        <v>081211</v>
      </c>
      <c r="K505" t="s">
        <v>22</v>
      </c>
      <c r="L505" t="s">
        <v>23</v>
      </c>
      <c r="M505" t="str">
        <f t="shared" si="54"/>
        <v>1</v>
      </c>
      <c r="O505" t="str">
        <f t="shared" si="49"/>
        <v>1 </v>
      </c>
      <c r="P505">
        <v>29.55</v>
      </c>
      <c r="Q505" t="s">
        <v>27</v>
      </c>
    </row>
    <row r="506" spans="1:17" ht="15">
      <c r="A506" t="s">
        <v>17</v>
      </c>
      <c r="B506" s="1">
        <v>43180</v>
      </c>
      <c r="C506" t="s">
        <v>64</v>
      </c>
      <c r="D506" t="str">
        <f>CONCATENATE("0060017996","")</f>
        <v>0060017996</v>
      </c>
      <c r="E506" t="str">
        <f>CONCATENATE("0121028000119       ","")</f>
        <v>0121028000119       </v>
      </c>
      <c r="F506" t="str">
        <f>CONCATENATE("607550245","")</f>
        <v>607550245</v>
      </c>
      <c r="G506" t="s">
        <v>652</v>
      </c>
      <c r="H506" t="s">
        <v>1056</v>
      </c>
      <c r="I506" t="s">
        <v>1058</v>
      </c>
      <c r="J506" t="str">
        <f>CONCATENATE("081207","")</f>
        <v>081207</v>
      </c>
      <c r="K506" t="s">
        <v>22</v>
      </c>
      <c r="L506" t="s">
        <v>23</v>
      </c>
      <c r="M506" t="str">
        <f t="shared" si="54"/>
        <v>1</v>
      </c>
      <c r="O506" t="str">
        <f t="shared" si="49"/>
        <v>1 </v>
      </c>
      <c r="P506">
        <v>19.7</v>
      </c>
      <c r="Q506" t="s">
        <v>27</v>
      </c>
    </row>
    <row r="507" spans="1:17" ht="15">
      <c r="A507" t="s">
        <v>17</v>
      </c>
      <c r="B507" s="1">
        <v>43180</v>
      </c>
      <c r="C507" t="s">
        <v>64</v>
      </c>
      <c r="D507" t="str">
        <f>CONCATENATE("0060026659","")</f>
        <v>0060026659</v>
      </c>
      <c r="E507" t="str">
        <f>CONCATENATE("0121028000350       ","")</f>
        <v>0121028000350       </v>
      </c>
      <c r="F507" t="str">
        <f>CONCATENATE("2015020411","")</f>
        <v>2015020411</v>
      </c>
      <c r="G507" t="s">
        <v>1053</v>
      </c>
      <c r="H507" t="s">
        <v>1059</v>
      </c>
      <c r="I507" t="s">
        <v>1060</v>
      </c>
      <c r="J507" t="str">
        <f>CONCATENATE("081211","")</f>
        <v>081211</v>
      </c>
      <c r="K507" t="s">
        <v>22</v>
      </c>
      <c r="L507" t="s">
        <v>23</v>
      </c>
      <c r="M507" t="str">
        <f t="shared" si="54"/>
        <v>1</v>
      </c>
      <c r="N507" t="str">
        <f>CONCATENATE("984646846","")</f>
        <v>984646846</v>
      </c>
      <c r="O507" t="str">
        <f t="shared" si="49"/>
        <v>1 </v>
      </c>
      <c r="P507">
        <v>11.9</v>
      </c>
      <c r="Q507" t="s">
        <v>27</v>
      </c>
    </row>
    <row r="508" spans="1:17" ht="15">
      <c r="A508" t="s">
        <v>17</v>
      </c>
      <c r="B508" s="1">
        <v>43180</v>
      </c>
      <c r="C508" t="s">
        <v>64</v>
      </c>
      <c r="D508" t="str">
        <f>CONCATENATE("0060026661","")</f>
        <v>0060026661</v>
      </c>
      <c r="E508" t="str">
        <f>CONCATENATE("0121028000351       ","")</f>
        <v>0121028000351       </v>
      </c>
      <c r="F508" t="str">
        <f>CONCATENATE("2015019907","")</f>
        <v>2015019907</v>
      </c>
      <c r="G508" t="s">
        <v>1053</v>
      </c>
      <c r="H508" t="s">
        <v>1059</v>
      </c>
      <c r="I508" t="s">
        <v>1061</v>
      </c>
      <c r="J508" t="str">
        <f>CONCATENATE("081211","")</f>
        <v>081211</v>
      </c>
      <c r="K508" t="s">
        <v>22</v>
      </c>
      <c r="L508" t="s">
        <v>23</v>
      </c>
      <c r="M508" t="str">
        <f t="shared" si="54"/>
        <v>1</v>
      </c>
      <c r="N508" t="str">
        <f>CONCATENATE("984646846","")</f>
        <v>984646846</v>
      </c>
      <c r="O508" t="str">
        <f t="shared" si="49"/>
        <v>1 </v>
      </c>
      <c r="P508">
        <v>14.75</v>
      </c>
      <c r="Q508" t="s">
        <v>27</v>
      </c>
    </row>
    <row r="509" spans="1:17" ht="15">
      <c r="A509" t="s">
        <v>17</v>
      </c>
      <c r="B509" s="1">
        <v>43180</v>
      </c>
      <c r="C509" t="s">
        <v>64</v>
      </c>
      <c r="D509" t="str">
        <f>CONCATENATE("0060026660","")</f>
        <v>0060026660</v>
      </c>
      <c r="E509" t="str">
        <f>CONCATENATE("0121028000352       ","")</f>
        <v>0121028000352       </v>
      </c>
      <c r="F509" t="str">
        <f>CONCATENATE("2015020420","")</f>
        <v>2015020420</v>
      </c>
      <c r="G509" t="s">
        <v>1053</v>
      </c>
      <c r="H509" t="s">
        <v>1059</v>
      </c>
      <c r="I509" t="s">
        <v>1061</v>
      </c>
      <c r="J509" t="str">
        <f>CONCATENATE("081211","")</f>
        <v>081211</v>
      </c>
      <c r="K509" t="s">
        <v>22</v>
      </c>
      <c r="L509" t="s">
        <v>23</v>
      </c>
      <c r="M509" t="str">
        <f t="shared" si="54"/>
        <v>1</v>
      </c>
      <c r="N509" t="str">
        <f>CONCATENATE("984646846","")</f>
        <v>984646846</v>
      </c>
      <c r="O509" t="str">
        <f t="shared" si="49"/>
        <v>1 </v>
      </c>
      <c r="P509">
        <v>11.9</v>
      </c>
      <c r="Q509" t="s">
        <v>27</v>
      </c>
    </row>
    <row r="510" spans="1:17" ht="15">
      <c r="A510" t="s">
        <v>17</v>
      </c>
      <c r="B510" s="1">
        <v>43180</v>
      </c>
      <c r="C510" t="s">
        <v>64</v>
      </c>
      <c r="D510" t="str">
        <f>CONCATENATE("0060013307","")</f>
        <v>0060013307</v>
      </c>
      <c r="E510" t="str">
        <f>CONCATENATE("0121028000750       ","")</f>
        <v>0121028000750       </v>
      </c>
      <c r="F510" t="str">
        <f>CONCATENATE("110098","")</f>
        <v>110098</v>
      </c>
      <c r="G510" t="s">
        <v>1053</v>
      </c>
      <c r="H510" t="s">
        <v>1062</v>
      </c>
      <c r="I510" t="s">
        <v>1063</v>
      </c>
      <c r="J510" t="str">
        <f>CONCATENATE("081211","")</f>
        <v>081211</v>
      </c>
      <c r="K510" t="s">
        <v>22</v>
      </c>
      <c r="L510" t="s">
        <v>23</v>
      </c>
      <c r="M510" t="str">
        <f>CONCATENATE("3","")</f>
        <v>3</v>
      </c>
      <c r="O510" t="str">
        <f t="shared" si="49"/>
        <v>1 </v>
      </c>
      <c r="P510">
        <v>1464.45</v>
      </c>
      <c r="Q510" t="s">
        <v>24</v>
      </c>
    </row>
    <row r="511" spans="1:17" ht="15">
      <c r="A511" t="s">
        <v>17</v>
      </c>
      <c r="B511" s="1">
        <v>43180</v>
      </c>
      <c r="C511" t="s">
        <v>242</v>
      </c>
      <c r="D511" t="str">
        <f>CONCATENATE("0060016167","")</f>
        <v>0060016167</v>
      </c>
      <c r="E511" t="str">
        <f>CONCATENATE("0121201000093       ","")</f>
        <v>0121201000093       </v>
      </c>
      <c r="F511" t="str">
        <f>CONCATENATE("1870803","")</f>
        <v>1870803</v>
      </c>
      <c r="G511" t="s">
        <v>1064</v>
      </c>
      <c r="H511" t="s">
        <v>1065</v>
      </c>
      <c r="I511" t="s">
        <v>1066</v>
      </c>
      <c r="J511" t="str">
        <f aca="true" t="shared" si="55" ref="J511:J548">CONCATENATE("081208","")</f>
        <v>081208</v>
      </c>
      <c r="K511" t="s">
        <v>22</v>
      </c>
      <c r="L511" t="s">
        <v>23</v>
      </c>
      <c r="M511" t="str">
        <f>CONCATENATE("1","")</f>
        <v>1</v>
      </c>
      <c r="O511" t="str">
        <f t="shared" si="49"/>
        <v>1 </v>
      </c>
      <c r="P511">
        <v>11.8</v>
      </c>
      <c r="Q511" t="s">
        <v>27</v>
      </c>
    </row>
    <row r="512" spans="1:17" ht="15">
      <c r="A512" t="s">
        <v>17</v>
      </c>
      <c r="B512" s="1">
        <v>43180</v>
      </c>
      <c r="C512" t="s">
        <v>242</v>
      </c>
      <c r="D512" t="str">
        <f>CONCATENATE("0060011145","")</f>
        <v>0060011145</v>
      </c>
      <c r="E512" t="str">
        <f>CONCATENATE("0121201000604       ","")</f>
        <v>0121201000604       </v>
      </c>
      <c r="F512" t="str">
        <f>CONCATENATE("606808266","")</f>
        <v>606808266</v>
      </c>
      <c r="G512" t="s">
        <v>1064</v>
      </c>
      <c r="H512" t="s">
        <v>1067</v>
      </c>
      <c r="I512" t="s">
        <v>1068</v>
      </c>
      <c r="J512" t="str">
        <f t="shared" si="55"/>
        <v>081208</v>
      </c>
      <c r="K512" t="s">
        <v>22</v>
      </c>
      <c r="L512" t="s">
        <v>23</v>
      </c>
      <c r="M512" t="str">
        <f>CONCATENATE("1","")</f>
        <v>1</v>
      </c>
      <c r="O512" t="str">
        <f t="shared" si="49"/>
        <v>1 </v>
      </c>
      <c r="P512">
        <v>12.25</v>
      </c>
      <c r="Q512" t="s">
        <v>27</v>
      </c>
    </row>
    <row r="513" spans="1:17" ht="15">
      <c r="A513" t="s">
        <v>17</v>
      </c>
      <c r="B513" s="1">
        <v>43180</v>
      </c>
      <c r="C513" t="s">
        <v>242</v>
      </c>
      <c r="D513" t="str">
        <f>CONCATENATE("0060007313","")</f>
        <v>0060007313</v>
      </c>
      <c r="E513" t="str">
        <f>CONCATENATE("0121201000680       ","")</f>
        <v>0121201000680       </v>
      </c>
      <c r="F513" t="str">
        <f>CONCATENATE("2122161","")</f>
        <v>2122161</v>
      </c>
      <c r="G513" t="s">
        <v>1064</v>
      </c>
      <c r="H513" t="s">
        <v>1069</v>
      </c>
      <c r="I513" t="s">
        <v>1070</v>
      </c>
      <c r="J513" t="str">
        <f t="shared" si="55"/>
        <v>081208</v>
      </c>
      <c r="K513" t="s">
        <v>22</v>
      </c>
      <c r="L513" t="s">
        <v>23</v>
      </c>
      <c r="M513" t="str">
        <f>CONCATENATE("1","")</f>
        <v>1</v>
      </c>
      <c r="O513" t="str">
        <f t="shared" si="49"/>
        <v>1 </v>
      </c>
      <c r="P513">
        <v>31.75</v>
      </c>
      <c r="Q513" t="s">
        <v>27</v>
      </c>
    </row>
    <row r="514" spans="1:17" ht="15">
      <c r="A514" t="s">
        <v>17</v>
      </c>
      <c r="B514" s="1">
        <v>43180</v>
      </c>
      <c r="C514" t="s">
        <v>242</v>
      </c>
      <c r="D514" t="str">
        <f>CONCATENATE("0060012288","")</f>
        <v>0060012288</v>
      </c>
      <c r="E514" t="str">
        <f>CONCATENATE("0121201000838       ","")</f>
        <v>0121201000838       </v>
      </c>
      <c r="F514" t="str">
        <f>CONCATENATE("110860","")</f>
        <v>110860</v>
      </c>
      <c r="G514" t="s">
        <v>1064</v>
      </c>
      <c r="H514" t="s">
        <v>1071</v>
      </c>
      <c r="I514" t="s">
        <v>1072</v>
      </c>
      <c r="J514" t="str">
        <f t="shared" si="55"/>
        <v>081208</v>
      </c>
      <c r="K514" t="s">
        <v>22</v>
      </c>
      <c r="L514" t="s">
        <v>23</v>
      </c>
      <c r="M514" t="str">
        <f>CONCATENATE("3","")</f>
        <v>3</v>
      </c>
      <c r="O514" t="str">
        <f aca="true" t="shared" si="56" ref="O514:O548">CONCATENATE("1 ","")</f>
        <v>1 </v>
      </c>
      <c r="P514">
        <v>371.9</v>
      </c>
      <c r="Q514" t="s">
        <v>24</v>
      </c>
    </row>
    <row r="515" spans="1:17" ht="15">
      <c r="A515" t="s">
        <v>17</v>
      </c>
      <c r="B515" s="1">
        <v>43180</v>
      </c>
      <c r="C515" t="s">
        <v>242</v>
      </c>
      <c r="D515" t="str">
        <f>CONCATENATE("0060007392","")</f>
        <v>0060007392</v>
      </c>
      <c r="E515" t="str">
        <f>CONCATENATE("0121201001270       ","")</f>
        <v>0121201001270       </v>
      </c>
      <c r="F515" t="str">
        <f>CONCATENATE("2122299","")</f>
        <v>2122299</v>
      </c>
      <c r="G515" t="s">
        <v>1064</v>
      </c>
      <c r="H515" t="s">
        <v>1073</v>
      </c>
      <c r="I515" t="s">
        <v>1074</v>
      </c>
      <c r="J515" t="str">
        <f t="shared" si="55"/>
        <v>081208</v>
      </c>
      <c r="K515" t="s">
        <v>22</v>
      </c>
      <c r="L515" t="s">
        <v>23</v>
      </c>
      <c r="M515" t="str">
        <f>CONCATENATE("1","")</f>
        <v>1</v>
      </c>
      <c r="O515" t="str">
        <f t="shared" si="56"/>
        <v>1 </v>
      </c>
      <c r="P515">
        <v>709.25</v>
      </c>
      <c r="Q515" t="s">
        <v>27</v>
      </c>
    </row>
    <row r="516" spans="1:17" ht="15">
      <c r="A516" t="s">
        <v>17</v>
      </c>
      <c r="B516" s="1">
        <v>43180</v>
      </c>
      <c r="C516" t="s">
        <v>242</v>
      </c>
      <c r="D516" t="str">
        <f>CONCATENATE("0060007399","")</f>
        <v>0060007399</v>
      </c>
      <c r="E516" t="str">
        <f>CONCATENATE("0121202000025       ","")</f>
        <v>0121202000025       </v>
      </c>
      <c r="F516" t="str">
        <f>CONCATENATE("1868400","")</f>
        <v>1868400</v>
      </c>
      <c r="G516" t="s">
        <v>1075</v>
      </c>
      <c r="H516" t="s">
        <v>1076</v>
      </c>
      <c r="I516" t="s">
        <v>1077</v>
      </c>
      <c r="J516" t="str">
        <f t="shared" si="55"/>
        <v>081208</v>
      </c>
      <c r="K516" t="s">
        <v>22</v>
      </c>
      <c r="L516" t="s">
        <v>23</v>
      </c>
      <c r="M516" t="str">
        <f>CONCATENATE("1","")</f>
        <v>1</v>
      </c>
      <c r="O516" t="str">
        <f t="shared" si="56"/>
        <v>1 </v>
      </c>
      <c r="P516">
        <v>11.7</v>
      </c>
      <c r="Q516" t="s">
        <v>27</v>
      </c>
    </row>
    <row r="517" spans="1:17" ht="15">
      <c r="A517" t="s">
        <v>17</v>
      </c>
      <c r="B517" s="1">
        <v>43180</v>
      </c>
      <c r="C517" t="s">
        <v>242</v>
      </c>
      <c r="D517" t="str">
        <f>CONCATENATE("0060010426","")</f>
        <v>0060010426</v>
      </c>
      <c r="E517" t="str">
        <f>CONCATENATE("0121202000067       ","")</f>
        <v>0121202000067       </v>
      </c>
      <c r="F517" t="str">
        <f>CONCATENATE("1933117","")</f>
        <v>1933117</v>
      </c>
      <c r="G517" t="s">
        <v>1064</v>
      </c>
      <c r="H517" t="s">
        <v>1078</v>
      </c>
      <c r="I517" t="s">
        <v>1079</v>
      </c>
      <c r="J517" t="str">
        <f t="shared" si="55"/>
        <v>081208</v>
      </c>
      <c r="K517" t="s">
        <v>22</v>
      </c>
      <c r="L517" t="s">
        <v>23</v>
      </c>
      <c r="M517" t="str">
        <f>CONCATENATE("3","")</f>
        <v>3</v>
      </c>
      <c r="O517" t="str">
        <f t="shared" si="56"/>
        <v>1 </v>
      </c>
      <c r="P517">
        <v>9.6</v>
      </c>
      <c r="Q517" t="s">
        <v>24</v>
      </c>
    </row>
    <row r="518" spans="1:17" ht="15">
      <c r="A518" t="s">
        <v>17</v>
      </c>
      <c r="B518" s="1">
        <v>43180</v>
      </c>
      <c r="C518" t="s">
        <v>242</v>
      </c>
      <c r="D518" t="str">
        <f>CONCATENATE("0060007422","")</f>
        <v>0060007422</v>
      </c>
      <c r="E518" t="str">
        <f>CONCATENATE("0121202000140       ","")</f>
        <v>0121202000140       </v>
      </c>
      <c r="F518" t="str">
        <f>CONCATENATE("605117836","")</f>
        <v>605117836</v>
      </c>
      <c r="G518" t="s">
        <v>1075</v>
      </c>
      <c r="H518" t="s">
        <v>1080</v>
      </c>
      <c r="I518" t="s">
        <v>1081</v>
      </c>
      <c r="J518" t="str">
        <f t="shared" si="55"/>
        <v>081208</v>
      </c>
      <c r="K518" t="s">
        <v>22</v>
      </c>
      <c r="L518" t="s">
        <v>23</v>
      </c>
      <c r="M518" t="str">
        <f aca="true" t="shared" si="57" ref="M518:M529">CONCATENATE("1","")</f>
        <v>1</v>
      </c>
      <c r="O518" t="str">
        <f t="shared" si="56"/>
        <v>1 </v>
      </c>
      <c r="P518">
        <v>12.2</v>
      </c>
      <c r="Q518" t="s">
        <v>27</v>
      </c>
    </row>
    <row r="519" spans="1:17" ht="15">
      <c r="A519" t="s">
        <v>17</v>
      </c>
      <c r="B519" s="1">
        <v>43180</v>
      </c>
      <c r="C519" t="s">
        <v>242</v>
      </c>
      <c r="D519" t="str">
        <f>CONCATENATE("0060007429","")</f>
        <v>0060007429</v>
      </c>
      <c r="E519" t="str">
        <f>CONCATENATE("0121202000200       ","")</f>
        <v>0121202000200       </v>
      </c>
      <c r="F519" t="str">
        <f>CONCATENATE("607295388","")</f>
        <v>607295388</v>
      </c>
      <c r="G519" t="s">
        <v>1075</v>
      </c>
      <c r="H519" t="s">
        <v>1082</v>
      </c>
      <c r="I519" t="s">
        <v>533</v>
      </c>
      <c r="J519" t="str">
        <f t="shared" si="55"/>
        <v>081208</v>
      </c>
      <c r="K519" t="s">
        <v>22</v>
      </c>
      <c r="L519" t="s">
        <v>23</v>
      </c>
      <c r="M519" t="str">
        <f t="shared" si="57"/>
        <v>1</v>
      </c>
      <c r="O519" t="str">
        <f t="shared" si="56"/>
        <v>1 </v>
      </c>
      <c r="P519">
        <v>34.15</v>
      </c>
      <c r="Q519" t="s">
        <v>27</v>
      </c>
    </row>
    <row r="520" spans="1:17" ht="15">
      <c r="A520" t="s">
        <v>17</v>
      </c>
      <c r="B520" s="1">
        <v>43180</v>
      </c>
      <c r="C520" t="s">
        <v>242</v>
      </c>
      <c r="D520" t="str">
        <f>CONCATENATE("0060007489","")</f>
        <v>0060007489</v>
      </c>
      <c r="E520" t="str">
        <f>CONCATENATE("0121202000830       ","")</f>
        <v>0121202000830       </v>
      </c>
      <c r="F520" t="str">
        <f>CONCATENATE("1861452","")</f>
        <v>1861452</v>
      </c>
      <c r="G520" t="s">
        <v>1075</v>
      </c>
      <c r="H520" t="s">
        <v>1083</v>
      </c>
      <c r="I520" t="s">
        <v>1084</v>
      </c>
      <c r="J520" t="str">
        <f t="shared" si="55"/>
        <v>081208</v>
      </c>
      <c r="K520" t="s">
        <v>22</v>
      </c>
      <c r="L520" t="s">
        <v>23</v>
      </c>
      <c r="M520" t="str">
        <f t="shared" si="57"/>
        <v>1</v>
      </c>
      <c r="O520" t="str">
        <f t="shared" si="56"/>
        <v>1 </v>
      </c>
      <c r="P520">
        <v>13.5</v>
      </c>
      <c r="Q520" t="s">
        <v>27</v>
      </c>
    </row>
    <row r="521" spans="1:17" ht="15">
      <c r="A521" t="s">
        <v>17</v>
      </c>
      <c r="B521" s="1">
        <v>43180</v>
      </c>
      <c r="C521" t="s">
        <v>242</v>
      </c>
      <c r="D521" t="str">
        <f>CONCATENATE("0060007500","")</f>
        <v>0060007500</v>
      </c>
      <c r="E521" t="str">
        <f>CONCATENATE("0121202000910       ","")</f>
        <v>0121202000910       </v>
      </c>
      <c r="F521" t="str">
        <f>CONCATENATE("1869568","")</f>
        <v>1869568</v>
      </c>
      <c r="G521" t="s">
        <v>1075</v>
      </c>
      <c r="H521" t="s">
        <v>1085</v>
      </c>
      <c r="I521" t="s">
        <v>514</v>
      </c>
      <c r="J521" t="str">
        <f t="shared" si="55"/>
        <v>081208</v>
      </c>
      <c r="K521" t="s">
        <v>22</v>
      </c>
      <c r="L521" t="s">
        <v>23</v>
      </c>
      <c r="M521" t="str">
        <f t="shared" si="57"/>
        <v>1</v>
      </c>
      <c r="O521" t="str">
        <f t="shared" si="56"/>
        <v>1 </v>
      </c>
      <c r="P521">
        <v>11.35</v>
      </c>
      <c r="Q521" t="s">
        <v>27</v>
      </c>
    </row>
    <row r="522" spans="1:17" ht="15">
      <c r="A522" t="s">
        <v>17</v>
      </c>
      <c r="B522" s="1">
        <v>43180</v>
      </c>
      <c r="C522" t="s">
        <v>242</v>
      </c>
      <c r="D522" t="str">
        <f>CONCATENATE("0060020864","")</f>
        <v>0060020864</v>
      </c>
      <c r="E522" t="str">
        <f>CONCATENATE("0121202001084       ","")</f>
        <v>0121202001084       </v>
      </c>
      <c r="F522" t="str">
        <f>CONCATENATE("607449452","")</f>
        <v>607449452</v>
      </c>
      <c r="G522" t="s">
        <v>1075</v>
      </c>
      <c r="H522" t="s">
        <v>1086</v>
      </c>
      <c r="I522" t="s">
        <v>1087</v>
      </c>
      <c r="J522" t="str">
        <f t="shared" si="55"/>
        <v>081208</v>
      </c>
      <c r="K522" t="s">
        <v>22</v>
      </c>
      <c r="L522" t="s">
        <v>23</v>
      </c>
      <c r="M522" t="str">
        <f t="shared" si="57"/>
        <v>1</v>
      </c>
      <c r="N522" t="str">
        <f>CONCATENATE("948056379","")</f>
        <v>948056379</v>
      </c>
      <c r="O522" t="str">
        <f t="shared" si="56"/>
        <v>1 </v>
      </c>
      <c r="P522">
        <v>33.05</v>
      </c>
      <c r="Q522" t="s">
        <v>27</v>
      </c>
    </row>
    <row r="523" spans="1:17" ht="15">
      <c r="A523" t="s">
        <v>17</v>
      </c>
      <c r="B523" s="1">
        <v>43180</v>
      </c>
      <c r="C523" t="s">
        <v>242</v>
      </c>
      <c r="D523" t="str">
        <f>CONCATENATE("0060007566","")</f>
        <v>0060007566</v>
      </c>
      <c r="E523" t="str">
        <f>CONCATENATE("0121202001270       ","")</f>
        <v>0121202001270       </v>
      </c>
      <c r="F523" t="str">
        <f>CONCATENATE("2126872","")</f>
        <v>2126872</v>
      </c>
      <c r="G523" t="s">
        <v>1075</v>
      </c>
      <c r="H523" t="s">
        <v>1088</v>
      </c>
      <c r="I523" t="s">
        <v>1089</v>
      </c>
      <c r="J523" t="str">
        <f t="shared" si="55"/>
        <v>081208</v>
      </c>
      <c r="K523" t="s">
        <v>22</v>
      </c>
      <c r="L523" t="s">
        <v>23</v>
      </c>
      <c r="M523" t="str">
        <f t="shared" si="57"/>
        <v>1</v>
      </c>
      <c r="O523" t="str">
        <f t="shared" si="56"/>
        <v>1 </v>
      </c>
      <c r="P523">
        <v>53</v>
      </c>
      <c r="Q523" t="s">
        <v>27</v>
      </c>
    </row>
    <row r="524" spans="1:17" ht="15">
      <c r="A524" t="s">
        <v>17</v>
      </c>
      <c r="B524" s="1">
        <v>43180</v>
      </c>
      <c r="C524" t="s">
        <v>242</v>
      </c>
      <c r="D524" t="str">
        <f>CONCATENATE("0060015246","")</f>
        <v>0060015246</v>
      </c>
      <c r="E524" t="str">
        <f>CONCATENATE("0121203000133       ","")</f>
        <v>0121203000133       </v>
      </c>
      <c r="F524" t="str">
        <f>CONCATENATE("605931354","")</f>
        <v>605931354</v>
      </c>
      <c r="G524" t="s">
        <v>1090</v>
      </c>
      <c r="H524" t="s">
        <v>1091</v>
      </c>
      <c r="I524" t="s">
        <v>1092</v>
      </c>
      <c r="J524" t="str">
        <f t="shared" si="55"/>
        <v>081208</v>
      </c>
      <c r="K524" t="s">
        <v>22</v>
      </c>
      <c r="L524" t="s">
        <v>23</v>
      </c>
      <c r="M524" t="str">
        <f t="shared" si="57"/>
        <v>1</v>
      </c>
      <c r="O524" t="str">
        <f t="shared" si="56"/>
        <v>1 </v>
      </c>
      <c r="P524">
        <v>20.95</v>
      </c>
      <c r="Q524" t="s">
        <v>27</v>
      </c>
    </row>
    <row r="525" spans="1:17" ht="15">
      <c r="A525" t="s">
        <v>17</v>
      </c>
      <c r="B525" s="1">
        <v>43180</v>
      </c>
      <c r="C525" t="s">
        <v>242</v>
      </c>
      <c r="D525" t="str">
        <f>CONCATENATE("0060021875","")</f>
        <v>0060021875</v>
      </c>
      <c r="E525" t="str">
        <f>CONCATENATE("0121210001400       ","")</f>
        <v>0121210001400       </v>
      </c>
      <c r="F525" t="str">
        <f>CONCATENATE("607292064","")</f>
        <v>607292064</v>
      </c>
      <c r="G525" t="s">
        <v>1093</v>
      </c>
      <c r="H525" t="s">
        <v>1094</v>
      </c>
      <c r="I525" t="s">
        <v>1095</v>
      </c>
      <c r="J525" t="str">
        <f t="shared" si="55"/>
        <v>081208</v>
      </c>
      <c r="K525" t="s">
        <v>22</v>
      </c>
      <c r="L525" t="s">
        <v>23</v>
      </c>
      <c r="M525" t="str">
        <f t="shared" si="57"/>
        <v>1</v>
      </c>
      <c r="O525" t="str">
        <f t="shared" si="56"/>
        <v>1 </v>
      </c>
      <c r="P525">
        <v>11.85</v>
      </c>
      <c r="Q525" t="s">
        <v>27</v>
      </c>
    </row>
    <row r="526" spans="1:17" ht="15">
      <c r="A526" t="s">
        <v>17</v>
      </c>
      <c r="B526" s="1">
        <v>43180</v>
      </c>
      <c r="C526" t="s">
        <v>242</v>
      </c>
      <c r="D526" t="str">
        <f>CONCATENATE("0060024393","")</f>
        <v>0060024393</v>
      </c>
      <c r="E526" t="str">
        <f>CONCATENATE("0121210001990       ","")</f>
        <v>0121210001990       </v>
      </c>
      <c r="F526" t="str">
        <f>CONCATENATE("607540353","")</f>
        <v>607540353</v>
      </c>
      <c r="G526" t="s">
        <v>1075</v>
      </c>
      <c r="H526" t="s">
        <v>1096</v>
      </c>
      <c r="I526" t="s">
        <v>1097</v>
      </c>
      <c r="J526" t="str">
        <f t="shared" si="55"/>
        <v>081208</v>
      </c>
      <c r="K526" t="s">
        <v>22</v>
      </c>
      <c r="L526" t="s">
        <v>23</v>
      </c>
      <c r="M526" t="str">
        <f t="shared" si="57"/>
        <v>1</v>
      </c>
      <c r="N526" t="str">
        <f>CONCATENATE("953854020","")</f>
        <v>953854020</v>
      </c>
      <c r="O526" t="str">
        <f t="shared" si="56"/>
        <v>1 </v>
      </c>
      <c r="P526">
        <v>40.6</v>
      </c>
      <c r="Q526" t="s">
        <v>27</v>
      </c>
    </row>
    <row r="527" spans="1:17" ht="15">
      <c r="A527" t="s">
        <v>17</v>
      </c>
      <c r="B527" s="1">
        <v>43180</v>
      </c>
      <c r="C527" t="s">
        <v>242</v>
      </c>
      <c r="D527" t="str">
        <f>CONCATENATE("0060021356","")</f>
        <v>0060021356</v>
      </c>
      <c r="E527" t="str">
        <f>CONCATENATE("0121220000433       ","")</f>
        <v>0121220000433       </v>
      </c>
      <c r="F527" t="str">
        <f>CONCATENATE("606909017","")</f>
        <v>606909017</v>
      </c>
      <c r="G527" t="s">
        <v>1098</v>
      </c>
      <c r="H527" t="s">
        <v>1099</v>
      </c>
      <c r="I527" t="s">
        <v>1100</v>
      </c>
      <c r="J527" t="str">
        <f t="shared" si="55"/>
        <v>081208</v>
      </c>
      <c r="K527" t="s">
        <v>22</v>
      </c>
      <c r="L527" t="s">
        <v>23</v>
      </c>
      <c r="M527" t="str">
        <f t="shared" si="57"/>
        <v>1</v>
      </c>
      <c r="N527" t="str">
        <f>CONCATENATE("974408614","")</f>
        <v>974408614</v>
      </c>
      <c r="O527" t="str">
        <f t="shared" si="56"/>
        <v>1 </v>
      </c>
      <c r="P527">
        <v>24.9</v>
      </c>
      <c r="Q527" t="s">
        <v>27</v>
      </c>
    </row>
    <row r="528" spans="1:17" ht="15">
      <c r="A528" t="s">
        <v>17</v>
      </c>
      <c r="B528" s="1">
        <v>43180</v>
      </c>
      <c r="C528" t="s">
        <v>242</v>
      </c>
      <c r="D528" t="str">
        <f>CONCATENATE("0060015518","")</f>
        <v>0060015518</v>
      </c>
      <c r="E528" t="str">
        <f>CONCATENATE("0121220000878       ","")</f>
        <v>0121220000878       </v>
      </c>
      <c r="F528" t="str">
        <f>CONCATENATE("607543511","")</f>
        <v>607543511</v>
      </c>
      <c r="G528" t="s">
        <v>1098</v>
      </c>
      <c r="H528" t="s">
        <v>1101</v>
      </c>
      <c r="I528" t="s">
        <v>1102</v>
      </c>
      <c r="J528" t="str">
        <f t="shared" si="55"/>
        <v>081208</v>
      </c>
      <c r="K528" t="s">
        <v>22</v>
      </c>
      <c r="L528" t="s">
        <v>23</v>
      </c>
      <c r="M528" t="str">
        <f t="shared" si="57"/>
        <v>1</v>
      </c>
      <c r="O528" t="str">
        <f t="shared" si="56"/>
        <v>1 </v>
      </c>
      <c r="P528">
        <v>120.75</v>
      </c>
      <c r="Q528" t="s">
        <v>27</v>
      </c>
    </row>
    <row r="529" spans="1:17" ht="15">
      <c r="A529" t="s">
        <v>17</v>
      </c>
      <c r="B529" s="1">
        <v>43180</v>
      </c>
      <c r="C529" t="s">
        <v>242</v>
      </c>
      <c r="D529" t="str">
        <f>CONCATENATE("0060020232","")</f>
        <v>0060020232</v>
      </c>
      <c r="E529" t="str">
        <f>CONCATENATE("0121220006000       ","")</f>
        <v>0121220006000       </v>
      </c>
      <c r="F529" t="str">
        <f>CONCATENATE("606853752","")</f>
        <v>606853752</v>
      </c>
      <c r="G529" t="s">
        <v>1103</v>
      </c>
      <c r="H529" t="s">
        <v>1104</v>
      </c>
      <c r="I529" t="s">
        <v>1105</v>
      </c>
      <c r="J529" t="str">
        <f t="shared" si="55"/>
        <v>081208</v>
      </c>
      <c r="K529" t="s">
        <v>22</v>
      </c>
      <c r="L529" t="s">
        <v>23</v>
      </c>
      <c r="M529" t="str">
        <f t="shared" si="57"/>
        <v>1</v>
      </c>
      <c r="O529" t="str">
        <f t="shared" si="56"/>
        <v>1 </v>
      </c>
      <c r="P529">
        <v>18</v>
      </c>
      <c r="Q529" t="s">
        <v>27</v>
      </c>
    </row>
    <row r="530" spans="1:17" ht="15">
      <c r="A530" t="s">
        <v>17</v>
      </c>
      <c r="B530" s="1">
        <v>43180</v>
      </c>
      <c r="C530" t="s">
        <v>242</v>
      </c>
      <c r="D530" t="str">
        <f>CONCATENATE("0060020968","")</f>
        <v>0060020968</v>
      </c>
      <c r="E530" t="str">
        <f>CONCATENATE("0121222000012       ","")</f>
        <v>0121222000012       </v>
      </c>
      <c r="F530" t="str">
        <f>CONCATENATE("607429193","")</f>
        <v>607429193</v>
      </c>
      <c r="G530" t="s">
        <v>1106</v>
      </c>
      <c r="H530" t="s">
        <v>1107</v>
      </c>
      <c r="I530" t="s">
        <v>1108</v>
      </c>
      <c r="J530" t="str">
        <f t="shared" si="55"/>
        <v>081208</v>
      </c>
      <c r="K530" t="s">
        <v>22</v>
      </c>
      <c r="L530" t="s">
        <v>23</v>
      </c>
      <c r="M530" t="str">
        <f>CONCATENATE("3","")</f>
        <v>3</v>
      </c>
      <c r="N530" t="str">
        <f>CONCATENATE("948001176","")</f>
        <v>948001176</v>
      </c>
      <c r="O530" t="str">
        <f t="shared" si="56"/>
        <v>1 </v>
      </c>
      <c r="P530">
        <v>1678.75</v>
      </c>
      <c r="Q530" t="s">
        <v>24</v>
      </c>
    </row>
    <row r="531" spans="1:17" ht="15">
      <c r="A531" t="s">
        <v>17</v>
      </c>
      <c r="B531" s="1">
        <v>43180</v>
      </c>
      <c r="C531" t="s">
        <v>242</v>
      </c>
      <c r="D531" t="str">
        <f>CONCATENATE("0060019223","")</f>
        <v>0060019223</v>
      </c>
      <c r="E531" t="str">
        <f>CONCATENATE("0121222000076       ","")</f>
        <v>0121222000076       </v>
      </c>
      <c r="F531" t="str">
        <f>CONCATENATE("1680010","")</f>
        <v>1680010</v>
      </c>
      <c r="G531" t="s">
        <v>1106</v>
      </c>
      <c r="H531" t="s">
        <v>1109</v>
      </c>
      <c r="I531" t="s">
        <v>1110</v>
      </c>
      <c r="J531" t="str">
        <f t="shared" si="55"/>
        <v>081208</v>
      </c>
      <c r="K531" t="s">
        <v>22</v>
      </c>
      <c r="L531" t="s">
        <v>23</v>
      </c>
      <c r="M531" t="str">
        <f>CONCATENATE("3","")</f>
        <v>3</v>
      </c>
      <c r="O531" t="str">
        <f t="shared" si="56"/>
        <v>1 </v>
      </c>
      <c r="P531">
        <v>573.35</v>
      </c>
      <c r="Q531" t="s">
        <v>24</v>
      </c>
    </row>
    <row r="532" spans="1:17" ht="15">
      <c r="A532" t="s">
        <v>17</v>
      </c>
      <c r="B532" s="1">
        <v>43180</v>
      </c>
      <c r="C532" t="s">
        <v>242</v>
      </c>
      <c r="D532" t="str">
        <f>CONCATENATE("0060009707","")</f>
        <v>0060009707</v>
      </c>
      <c r="E532" t="str">
        <f>CONCATENATE("0121222000082       ","")</f>
        <v>0121222000082       </v>
      </c>
      <c r="F532" t="str">
        <f>CONCATENATE("607653066","")</f>
        <v>607653066</v>
      </c>
      <c r="G532" t="s">
        <v>1106</v>
      </c>
      <c r="H532" t="s">
        <v>1111</v>
      </c>
      <c r="I532" t="s">
        <v>1112</v>
      </c>
      <c r="J532" t="str">
        <f t="shared" si="55"/>
        <v>081208</v>
      </c>
      <c r="K532" t="s">
        <v>22</v>
      </c>
      <c r="L532" t="s">
        <v>23</v>
      </c>
      <c r="M532" t="str">
        <f>CONCATENATE("1","")</f>
        <v>1</v>
      </c>
      <c r="O532" t="str">
        <f t="shared" si="56"/>
        <v>1 </v>
      </c>
      <c r="P532">
        <v>7.45</v>
      </c>
      <c r="Q532" t="s">
        <v>27</v>
      </c>
    </row>
    <row r="533" spans="1:17" ht="15">
      <c r="A533" t="s">
        <v>17</v>
      </c>
      <c r="B533" s="1">
        <v>43180</v>
      </c>
      <c r="C533" t="s">
        <v>242</v>
      </c>
      <c r="D533" t="str">
        <f>CONCATENATE("0060007905","")</f>
        <v>0060007905</v>
      </c>
      <c r="E533" t="str">
        <f>CONCATENATE("0121222000250       ","")</f>
        <v>0121222000250       </v>
      </c>
      <c r="F533" t="str">
        <f>CONCATENATE("00000002323","")</f>
        <v>00000002323</v>
      </c>
      <c r="G533" t="s">
        <v>1113</v>
      </c>
      <c r="H533" t="s">
        <v>1114</v>
      </c>
      <c r="I533" t="s">
        <v>1115</v>
      </c>
      <c r="J533" t="str">
        <f t="shared" si="55"/>
        <v>081208</v>
      </c>
      <c r="K533" t="s">
        <v>22</v>
      </c>
      <c r="L533" t="s">
        <v>23</v>
      </c>
      <c r="M533" t="str">
        <f>CONCATENATE("1","")</f>
        <v>1</v>
      </c>
      <c r="O533" t="str">
        <f t="shared" si="56"/>
        <v>1 </v>
      </c>
      <c r="P533">
        <v>33.35</v>
      </c>
      <c r="Q533" t="s">
        <v>27</v>
      </c>
    </row>
    <row r="534" spans="1:17" ht="15">
      <c r="A534" t="s">
        <v>17</v>
      </c>
      <c r="B534" s="1">
        <v>43180</v>
      </c>
      <c r="C534" t="s">
        <v>242</v>
      </c>
      <c r="D534" t="str">
        <f>CONCATENATE("0060018614","")</f>
        <v>0060018614</v>
      </c>
      <c r="E534" t="str">
        <f>CONCATENATE("0121222000251       ","")</f>
        <v>0121222000251       </v>
      </c>
      <c r="F534" t="str">
        <f>CONCATENATE("607640854","")</f>
        <v>607640854</v>
      </c>
      <c r="G534" t="s">
        <v>1113</v>
      </c>
      <c r="H534" t="s">
        <v>1116</v>
      </c>
      <c r="I534" t="s">
        <v>1117</v>
      </c>
      <c r="J534" t="str">
        <f t="shared" si="55"/>
        <v>081208</v>
      </c>
      <c r="K534" t="s">
        <v>22</v>
      </c>
      <c r="L534" t="s">
        <v>23</v>
      </c>
      <c r="M534" t="str">
        <f>CONCATENATE("3","")</f>
        <v>3</v>
      </c>
      <c r="O534" t="str">
        <f t="shared" si="56"/>
        <v>1 </v>
      </c>
      <c r="P534">
        <v>115.4</v>
      </c>
      <c r="Q534" t="s">
        <v>24</v>
      </c>
    </row>
    <row r="535" spans="1:17" ht="15">
      <c r="A535" t="s">
        <v>17</v>
      </c>
      <c r="B535" s="1">
        <v>43180</v>
      </c>
      <c r="C535" t="s">
        <v>242</v>
      </c>
      <c r="D535" t="str">
        <f>CONCATENATE("0060014522","")</f>
        <v>0060014522</v>
      </c>
      <c r="E535" t="str">
        <f>CONCATENATE("0121222000311       ","")</f>
        <v>0121222000311       </v>
      </c>
      <c r="F535" t="str">
        <f>CONCATENATE("607428845","")</f>
        <v>607428845</v>
      </c>
      <c r="G535" t="s">
        <v>1113</v>
      </c>
      <c r="H535" t="s">
        <v>1118</v>
      </c>
      <c r="I535" t="s">
        <v>1119</v>
      </c>
      <c r="J535" t="str">
        <f t="shared" si="55"/>
        <v>081208</v>
      </c>
      <c r="K535" t="s">
        <v>22</v>
      </c>
      <c r="L535" t="s">
        <v>23</v>
      </c>
      <c r="M535" t="str">
        <f>CONCATENATE("3","")</f>
        <v>3</v>
      </c>
      <c r="O535" t="str">
        <f t="shared" si="56"/>
        <v>1 </v>
      </c>
      <c r="P535">
        <v>1002.35</v>
      </c>
      <c r="Q535" t="s">
        <v>24</v>
      </c>
    </row>
    <row r="536" spans="1:17" ht="15">
      <c r="A536" t="s">
        <v>17</v>
      </c>
      <c r="B536" s="1">
        <v>43180</v>
      </c>
      <c r="C536" t="s">
        <v>242</v>
      </c>
      <c r="D536" t="str">
        <f>CONCATENATE("0060014458","")</f>
        <v>0060014458</v>
      </c>
      <c r="E536" t="str">
        <f>CONCATENATE("0121222000335       ","")</f>
        <v>0121222000335       </v>
      </c>
      <c r="F536" t="str">
        <f>CONCATENATE("0607428843","")</f>
        <v>0607428843</v>
      </c>
      <c r="G536" t="s">
        <v>1113</v>
      </c>
      <c r="H536" t="s">
        <v>1120</v>
      </c>
      <c r="I536" t="s">
        <v>1121</v>
      </c>
      <c r="J536" t="str">
        <f t="shared" si="55"/>
        <v>081208</v>
      </c>
      <c r="K536" t="s">
        <v>22</v>
      </c>
      <c r="L536" t="s">
        <v>23</v>
      </c>
      <c r="M536" t="str">
        <f>CONCATENATE("3","")</f>
        <v>3</v>
      </c>
      <c r="O536" t="str">
        <f t="shared" si="56"/>
        <v>1 </v>
      </c>
      <c r="P536">
        <v>304.35</v>
      </c>
      <c r="Q536" t="s">
        <v>24</v>
      </c>
    </row>
    <row r="537" spans="1:17" ht="15">
      <c r="A537" t="s">
        <v>17</v>
      </c>
      <c r="B537" s="1">
        <v>43180</v>
      </c>
      <c r="C537" t="s">
        <v>242</v>
      </c>
      <c r="D537" t="str">
        <f>CONCATENATE("0060020836","")</f>
        <v>0060020836</v>
      </c>
      <c r="E537" t="str">
        <f>CONCATENATE("0121222000441       ","")</f>
        <v>0121222000441       </v>
      </c>
      <c r="F537" t="str">
        <f>CONCATENATE("607639636","")</f>
        <v>607639636</v>
      </c>
      <c r="G537" t="s">
        <v>1113</v>
      </c>
      <c r="H537" t="s">
        <v>1122</v>
      </c>
      <c r="I537" t="s">
        <v>1123</v>
      </c>
      <c r="J537" t="str">
        <f t="shared" si="55"/>
        <v>081208</v>
      </c>
      <c r="K537" t="s">
        <v>22</v>
      </c>
      <c r="L537" t="s">
        <v>23</v>
      </c>
      <c r="M537" t="str">
        <f>CONCATENATE("3","")</f>
        <v>3</v>
      </c>
      <c r="O537" t="str">
        <f t="shared" si="56"/>
        <v>1 </v>
      </c>
      <c r="P537">
        <v>22.95</v>
      </c>
      <c r="Q537" t="s">
        <v>24</v>
      </c>
    </row>
    <row r="538" spans="1:17" ht="15">
      <c r="A538" t="s">
        <v>17</v>
      </c>
      <c r="B538" s="1">
        <v>43180</v>
      </c>
      <c r="C538" t="s">
        <v>242</v>
      </c>
      <c r="D538" t="str">
        <f>CONCATENATE("0060014893","")</f>
        <v>0060014893</v>
      </c>
      <c r="E538" t="str">
        <f>CONCATENATE("0121222001020       ","")</f>
        <v>0121222001020       </v>
      </c>
      <c r="F538" t="str">
        <f>CONCATENATE("606030096","")</f>
        <v>606030096</v>
      </c>
      <c r="G538" t="s">
        <v>1113</v>
      </c>
      <c r="H538" t="s">
        <v>1124</v>
      </c>
      <c r="I538" t="s">
        <v>1125</v>
      </c>
      <c r="J538" t="str">
        <f t="shared" si="55"/>
        <v>081208</v>
      </c>
      <c r="K538" t="s">
        <v>22</v>
      </c>
      <c r="L538" t="s">
        <v>23</v>
      </c>
      <c r="M538" t="str">
        <f aca="true" t="shared" si="58" ref="M538:M548">CONCATENATE("1","")</f>
        <v>1</v>
      </c>
      <c r="O538" t="str">
        <f t="shared" si="56"/>
        <v>1 </v>
      </c>
      <c r="P538">
        <v>156.75</v>
      </c>
      <c r="Q538" t="s">
        <v>27</v>
      </c>
    </row>
    <row r="539" spans="1:17" ht="15">
      <c r="A539" t="s">
        <v>17</v>
      </c>
      <c r="B539" s="1">
        <v>43180</v>
      </c>
      <c r="C539" t="s">
        <v>242</v>
      </c>
      <c r="D539" t="str">
        <f>CONCATENATE("0060014891","")</f>
        <v>0060014891</v>
      </c>
      <c r="E539" t="str">
        <f>CONCATENATE("0121222001030       ","")</f>
        <v>0121222001030       </v>
      </c>
      <c r="F539" t="str">
        <f>CONCATENATE("606030069","")</f>
        <v>606030069</v>
      </c>
      <c r="G539" t="s">
        <v>1113</v>
      </c>
      <c r="H539" t="s">
        <v>1126</v>
      </c>
      <c r="I539" t="s">
        <v>1125</v>
      </c>
      <c r="J539" t="str">
        <f t="shared" si="55"/>
        <v>081208</v>
      </c>
      <c r="K539" t="s">
        <v>22</v>
      </c>
      <c r="L539" t="s">
        <v>23</v>
      </c>
      <c r="M539" t="str">
        <f t="shared" si="58"/>
        <v>1</v>
      </c>
      <c r="O539" t="str">
        <f t="shared" si="56"/>
        <v>1 </v>
      </c>
      <c r="P539">
        <v>17.1</v>
      </c>
      <c r="Q539" t="s">
        <v>27</v>
      </c>
    </row>
    <row r="540" spans="1:17" ht="15">
      <c r="A540" t="s">
        <v>17</v>
      </c>
      <c r="B540" s="1">
        <v>43180</v>
      </c>
      <c r="C540" t="s">
        <v>242</v>
      </c>
      <c r="D540" t="str">
        <f>CONCATENATE("0060014887","")</f>
        <v>0060014887</v>
      </c>
      <c r="E540" t="str">
        <f>CONCATENATE("0121222001050       ","")</f>
        <v>0121222001050       </v>
      </c>
      <c r="F540" t="str">
        <f>CONCATENATE("606030074","")</f>
        <v>606030074</v>
      </c>
      <c r="G540" t="s">
        <v>1113</v>
      </c>
      <c r="H540" t="s">
        <v>1127</v>
      </c>
      <c r="I540" t="s">
        <v>1125</v>
      </c>
      <c r="J540" t="str">
        <f t="shared" si="55"/>
        <v>081208</v>
      </c>
      <c r="K540" t="s">
        <v>22</v>
      </c>
      <c r="L540" t="s">
        <v>23</v>
      </c>
      <c r="M540" t="str">
        <f t="shared" si="58"/>
        <v>1</v>
      </c>
      <c r="O540" t="str">
        <f t="shared" si="56"/>
        <v>1 </v>
      </c>
      <c r="P540">
        <v>11.8</v>
      </c>
      <c r="Q540" t="s">
        <v>27</v>
      </c>
    </row>
    <row r="541" spans="1:17" ht="15">
      <c r="A541" t="s">
        <v>17</v>
      </c>
      <c r="B541" s="1">
        <v>43180</v>
      </c>
      <c r="C541" t="s">
        <v>242</v>
      </c>
      <c r="D541" t="str">
        <f>CONCATENATE("0060014882","")</f>
        <v>0060014882</v>
      </c>
      <c r="E541" t="str">
        <f>CONCATENATE("0121222001075       ","")</f>
        <v>0121222001075       </v>
      </c>
      <c r="F541" t="str">
        <f>CONCATENATE("606030082","")</f>
        <v>606030082</v>
      </c>
      <c r="G541" t="s">
        <v>1113</v>
      </c>
      <c r="H541" t="s">
        <v>1128</v>
      </c>
      <c r="I541" t="s">
        <v>1125</v>
      </c>
      <c r="J541" t="str">
        <f t="shared" si="55"/>
        <v>081208</v>
      </c>
      <c r="K541" t="s">
        <v>22</v>
      </c>
      <c r="L541" t="s">
        <v>23</v>
      </c>
      <c r="M541" t="str">
        <f t="shared" si="58"/>
        <v>1</v>
      </c>
      <c r="O541" t="str">
        <f t="shared" si="56"/>
        <v>1 </v>
      </c>
      <c r="P541">
        <v>11.95</v>
      </c>
      <c r="Q541" t="s">
        <v>27</v>
      </c>
    </row>
    <row r="542" spans="1:17" ht="15">
      <c r="A542" t="s">
        <v>17</v>
      </c>
      <c r="B542" s="1">
        <v>43180</v>
      </c>
      <c r="C542" t="s">
        <v>242</v>
      </c>
      <c r="D542" t="str">
        <f>CONCATENATE("0060014881","")</f>
        <v>0060014881</v>
      </c>
      <c r="E542" t="str">
        <f>CONCATENATE("0121222001080       ","")</f>
        <v>0121222001080       </v>
      </c>
      <c r="F542" t="str">
        <f>CONCATENATE("606029853","")</f>
        <v>606029853</v>
      </c>
      <c r="G542" t="s">
        <v>1113</v>
      </c>
      <c r="H542" t="s">
        <v>1129</v>
      </c>
      <c r="I542" t="s">
        <v>1130</v>
      </c>
      <c r="J542" t="str">
        <f t="shared" si="55"/>
        <v>081208</v>
      </c>
      <c r="K542" t="s">
        <v>22</v>
      </c>
      <c r="L542" t="s">
        <v>23</v>
      </c>
      <c r="M542" t="str">
        <f t="shared" si="58"/>
        <v>1</v>
      </c>
      <c r="O542" t="str">
        <f t="shared" si="56"/>
        <v>1 </v>
      </c>
      <c r="P542">
        <v>42.2</v>
      </c>
      <c r="Q542" t="s">
        <v>27</v>
      </c>
    </row>
    <row r="543" spans="1:17" ht="15">
      <c r="A543" t="s">
        <v>17</v>
      </c>
      <c r="B543" s="1">
        <v>43180</v>
      </c>
      <c r="C543" t="s">
        <v>242</v>
      </c>
      <c r="D543" t="str">
        <f>CONCATENATE("0060014879","")</f>
        <v>0060014879</v>
      </c>
      <c r="E543" t="str">
        <f>CONCATENATE("0121222001090       ","")</f>
        <v>0121222001090       </v>
      </c>
      <c r="F543" t="str">
        <f>CONCATENATE("606029852","")</f>
        <v>606029852</v>
      </c>
      <c r="G543" t="s">
        <v>1113</v>
      </c>
      <c r="H543" t="s">
        <v>1131</v>
      </c>
      <c r="I543" t="s">
        <v>1125</v>
      </c>
      <c r="J543" t="str">
        <f t="shared" si="55"/>
        <v>081208</v>
      </c>
      <c r="K543" t="s">
        <v>22</v>
      </c>
      <c r="L543" t="s">
        <v>23</v>
      </c>
      <c r="M543" t="str">
        <f t="shared" si="58"/>
        <v>1</v>
      </c>
      <c r="O543" t="str">
        <f t="shared" si="56"/>
        <v>1 </v>
      </c>
      <c r="P543">
        <v>25.15</v>
      </c>
      <c r="Q543" t="s">
        <v>27</v>
      </c>
    </row>
    <row r="544" spans="1:17" ht="15">
      <c r="A544" t="s">
        <v>17</v>
      </c>
      <c r="B544" s="1">
        <v>43180</v>
      </c>
      <c r="C544" t="s">
        <v>242</v>
      </c>
      <c r="D544" t="str">
        <f>CONCATENATE("0060011564","")</f>
        <v>0060011564</v>
      </c>
      <c r="E544" t="str">
        <f>CONCATENATE("0121225000112       ","")</f>
        <v>0121225000112       </v>
      </c>
      <c r="F544" t="str">
        <f>CONCATENATE("607444245","")</f>
        <v>607444245</v>
      </c>
      <c r="G544" t="s">
        <v>1132</v>
      </c>
      <c r="H544" t="s">
        <v>1133</v>
      </c>
      <c r="I544" t="s">
        <v>1134</v>
      </c>
      <c r="J544" t="str">
        <f t="shared" si="55"/>
        <v>081208</v>
      </c>
      <c r="K544" t="s">
        <v>22</v>
      </c>
      <c r="L544" t="s">
        <v>23</v>
      </c>
      <c r="M544" t="str">
        <f t="shared" si="58"/>
        <v>1</v>
      </c>
      <c r="O544" t="str">
        <f t="shared" si="56"/>
        <v>1 </v>
      </c>
      <c r="P544">
        <v>85.95</v>
      </c>
      <c r="Q544" t="s">
        <v>27</v>
      </c>
    </row>
    <row r="545" spans="1:17" ht="15">
      <c r="A545" t="s">
        <v>17</v>
      </c>
      <c r="B545" s="1">
        <v>43180</v>
      </c>
      <c r="C545" t="s">
        <v>242</v>
      </c>
      <c r="D545" t="str">
        <f>CONCATENATE("0060019797","")</f>
        <v>0060019797</v>
      </c>
      <c r="E545" t="str">
        <f>CONCATENATE("0121225000122       ","")</f>
        <v>0121225000122       </v>
      </c>
      <c r="F545" t="str">
        <f>CONCATENATE("606746169","")</f>
        <v>606746169</v>
      </c>
      <c r="G545" t="s">
        <v>1132</v>
      </c>
      <c r="H545" t="s">
        <v>1135</v>
      </c>
      <c r="I545" t="s">
        <v>1136</v>
      </c>
      <c r="J545" t="str">
        <f t="shared" si="55"/>
        <v>081208</v>
      </c>
      <c r="K545" t="s">
        <v>22</v>
      </c>
      <c r="L545" t="s">
        <v>23</v>
      </c>
      <c r="M545" t="str">
        <f t="shared" si="58"/>
        <v>1</v>
      </c>
      <c r="O545" t="str">
        <f t="shared" si="56"/>
        <v>1 </v>
      </c>
      <c r="P545">
        <v>18.1</v>
      </c>
      <c r="Q545" t="s">
        <v>27</v>
      </c>
    </row>
    <row r="546" spans="1:17" ht="15">
      <c r="A546" t="s">
        <v>17</v>
      </c>
      <c r="B546" s="1">
        <v>43180</v>
      </c>
      <c r="C546" t="s">
        <v>242</v>
      </c>
      <c r="D546" t="str">
        <f>CONCATENATE("0060016656","")</f>
        <v>0060016656</v>
      </c>
      <c r="E546" t="str">
        <f>CONCATENATE("0121225000652       ","")</f>
        <v>0121225000652       </v>
      </c>
      <c r="F546" t="str">
        <f>CONCATENATE("1930821","")</f>
        <v>1930821</v>
      </c>
      <c r="G546" t="s">
        <v>1132</v>
      </c>
      <c r="H546" t="s">
        <v>1137</v>
      </c>
      <c r="I546" t="s">
        <v>1138</v>
      </c>
      <c r="J546" t="str">
        <f t="shared" si="55"/>
        <v>081208</v>
      </c>
      <c r="K546" t="s">
        <v>22</v>
      </c>
      <c r="L546" t="s">
        <v>23</v>
      </c>
      <c r="M546" t="str">
        <f t="shared" si="58"/>
        <v>1</v>
      </c>
      <c r="O546" t="str">
        <f t="shared" si="56"/>
        <v>1 </v>
      </c>
      <c r="P546">
        <v>12.4</v>
      </c>
      <c r="Q546" t="s">
        <v>27</v>
      </c>
    </row>
    <row r="547" spans="1:17" ht="15">
      <c r="A547" t="s">
        <v>17</v>
      </c>
      <c r="B547" s="1">
        <v>43180</v>
      </c>
      <c r="C547" t="s">
        <v>242</v>
      </c>
      <c r="D547" t="str">
        <f>CONCATENATE("0060007994","")</f>
        <v>0060007994</v>
      </c>
      <c r="E547" t="str">
        <f>CONCATENATE("0121225000701       ","")</f>
        <v>0121225000701       </v>
      </c>
      <c r="F547" t="str">
        <f>CONCATENATE("605747416","")</f>
        <v>605747416</v>
      </c>
      <c r="G547" t="s">
        <v>1139</v>
      </c>
      <c r="H547" t="s">
        <v>1126</v>
      </c>
      <c r="I547" t="s">
        <v>1140</v>
      </c>
      <c r="J547" t="str">
        <f t="shared" si="55"/>
        <v>081208</v>
      </c>
      <c r="K547" t="s">
        <v>22</v>
      </c>
      <c r="L547" t="s">
        <v>23</v>
      </c>
      <c r="M547" t="str">
        <f t="shared" si="58"/>
        <v>1</v>
      </c>
      <c r="O547" t="str">
        <f t="shared" si="56"/>
        <v>1 </v>
      </c>
      <c r="P547">
        <v>11.1</v>
      </c>
      <c r="Q547" t="s">
        <v>27</v>
      </c>
    </row>
    <row r="548" spans="1:17" ht="15">
      <c r="A548" t="s">
        <v>17</v>
      </c>
      <c r="B548" s="1">
        <v>43180</v>
      </c>
      <c r="C548" t="s">
        <v>242</v>
      </c>
      <c r="D548" t="str">
        <f>CONCATENATE("0060026191","")</f>
        <v>0060026191</v>
      </c>
      <c r="E548" t="str">
        <f>CONCATENATE("0121225000790       ","")</f>
        <v>0121225000790       </v>
      </c>
      <c r="F548" t="str">
        <f>CONCATENATE("2017026438","")</f>
        <v>2017026438</v>
      </c>
      <c r="G548" t="s">
        <v>1132</v>
      </c>
      <c r="H548" t="s">
        <v>1141</v>
      </c>
      <c r="I548" t="s">
        <v>1142</v>
      </c>
      <c r="J548" t="str">
        <f t="shared" si="55"/>
        <v>081208</v>
      </c>
      <c r="K548" t="s">
        <v>22</v>
      </c>
      <c r="L548" t="s">
        <v>23</v>
      </c>
      <c r="M548" t="str">
        <f t="shared" si="58"/>
        <v>1</v>
      </c>
      <c r="N548" t="str">
        <f>CONCATENATE("984900191","")</f>
        <v>984900191</v>
      </c>
      <c r="O548" t="str">
        <f t="shared" si="56"/>
        <v>1 </v>
      </c>
      <c r="P548">
        <v>11.9</v>
      </c>
      <c r="Q548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Flores Misari</dc:creator>
  <cp:keywords/>
  <dc:description/>
  <cp:lastModifiedBy>Felix Flores Misari</cp:lastModifiedBy>
  <dcterms:created xsi:type="dcterms:W3CDTF">2018-03-21T16:13:35Z</dcterms:created>
  <dcterms:modified xsi:type="dcterms:W3CDTF">2018-03-21T16:13:35Z</dcterms:modified>
  <cp:category/>
  <cp:version/>
  <cp:contentType/>
  <cp:contentStatus/>
</cp:coreProperties>
</file>